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1521b8669e4aaf70/Documents/Praca/Popojutrze/Nowy SIN/"/>
    </mc:Choice>
  </mc:AlternateContent>
  <xr:revisionPtr revIDLastSave="10" documentId="13_ncr:1_{045DF804-0135-4028-82B0-C8B286459767}" xr6:coauthVersionLast="47" xr6:coauthVersionMax="47" xr10:uidLastSave="{0DCF4926-716E-47ED-8D32-4EBC51894CFE}"/>
  <bookViews>
    <workbookView xWindow="-120" yWindow="-120" windowWidth="38640" windowHeight="21390" activeTab="5" xr2:uid="{00000000-000D-0000-FFFF-FFFF00000000}"/>
  </bookViews>
  <sheets>
    <sheet name="Etap 1" sheetId="2" r:id="rId1"/>
    <sheet name="Etap 2" sheetId="9" r:id="rId2"/>
    <sheet name="Etap 3" sheetId="10" r:id="rId3"/>
    <sheet name="Podsumowanie" sheetId="1" r:id="rId4"/>
    <sheet name="Robocze" sheetId="4" state="hidden" r:id="rId5"/>
    <sheet name="Taryfikator" sheetId="8" r:id="rId6"/>
  </sheets>
  <definedNames>
    <definedName name="_ftn1" localSheetId="5">Taryfikator!$A$46</definedName>
    <definedName name="_ftn2" localSheetId="5">Taryfikator!$A$48</definedName>
    <definedName name="_ftn3" localSheetId="5">Taryfikator!$A$49</definedName>
    <definedName name="_ftnref1" localSheetId="5">Taryfikator!$B$26</definedName>
    <definedName name="_ftnref2" localSheetId="5">Taryfikator!$B$36</definedName>
    <definedName name="_ftnref3" localSheetId="5">Taryfikator!$B$41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9" i="1" l="1"/>
  <c r="E48" i="1"/>
  <c r="D62" i="1"/>
  <c r="D61" i="1"/>
  <c r="D60" i="1"/>
  <c r="D59" i="1"/>
  <c r="D58" i="1"/>
  <c r="D57" i="1"/>
  <c r="D56" i="1"/>
  <c r="D55" i="1"/>
  <c r="D54" i="1"/>
  <c r="D53" i="1"/>
  <c r="B147" i="10"/>
  <c r="B146" i="10"/>
  <c r="B145" i="10"/>
  <c r="B144" i="10"/>
  <c r="B143" i="10"/>
  <c r="B142" i="10"/>
  <c r="B141" i="10"/>
  <c r="B140" i="10"/>
  <c r="B139" i="10"/>
  <c r="B138" i="10"/>
  <c r="B134" i="10"/>
  <c r="B133" i="10"/>
  <c r="B132" i="10"/>
  <c r="B131" i="10"/>
  <c r="B130" i="10"/>
  <c r="B129" i="10"/>
  <c r="B128" i="10"/>
  <c r="B127" i="10"/>
  <c r="B126" i="10"/>
  <c r="B125" i="10"/>
  <c r="B121" i="10"/>
  <c r="B120" i="10"/>
  <c r="B119" i="10"/>
  <c r="B118" i="10"/>
  <c r="B117" i="10"/>
  <c r="B116" i="10"/>
  <c r="B115" i="10"/>
  <c r="B114" i="10"/>
  <c r="B113" i="10"/>
  <c r="B112" i="10"/>
  <c r="B108" i="10"/>
  <c r="B107" i="10"/>
  <c r="B106" i="10"/>
  <c r="B105" i="10"/>
  <c r="B104" i="10"/>
  <c r="B103" i="10"/>
  <c r="B102" i="10"/>
  <c r="B101" i="10"/>
  <c r="B100" i="10"/>
  <c r="B99" i="10"/>
  <c r="B95" i="10"/>
  <c r="B94" i="10"/>
  <c r="B93" i="10"/>
  <c r="B92" i="10"/>
  <c r="B91" i="10"/>
  <c r="B90" i="10"/>
  <c r="B89" i="10"/>
  <c r="B88" i="10"/>
  <c r="B87" i="10"/>
  <c r="B86" i="10"/>
  <c r="B82" i="10"/>
  <c r="B81" i="10"/>
  <c r="B80" i="10"/>
  <c r="B79" i="10"/>
  <c r="B78" i="10"/>
  <c r="B77" i="10"/>
  <c r="B76" i="10"/>
  <c r="B75" i="10"/>
  <c r="B74" i="10"/>
  <c r="B73" i="10"/>
  <c r="B69" i="10"/>
  <c r="B68" i="10"/>
  <c r="B67" i="10"/>
  <c r="B66" i="10"/>
  <c r="B65" i="10"/>
  <c r="B64" i="10"/>
  <c r="B63" i="10"/>
  <c r="B62" i="10"/>
  <c r="B61" i="10"/>
  <c r="B60" i="10"/>
  <c r="B56" i="10"/>
  <c r="B55" i="10"/>
  <c r="B54" i="10"/>
  <c r="B53" i="10"/>
  <c r="B52" i="10"/>
  <c r="B51" i="10"/>
  <c r="B50" i="10"/>
  <c r="B49" i="10"/>
  <c r="B48" i="10"/>
  <c r="B47" i="10"/>
  <c r="B43" i="10"/>
  <c r="B42" i="10"/>
  <c r="B41" i="10"/>
  <c r="B40" i="10"/>
  <c r="B39" i="10"/>
  <c r="B38" i="10"/>
  <c r="B37" i="10"/>
  <c r="B36" i="10"/>
  <c r="B35" i="10"/>
  <c r="B34" i="10"/>
  <c r="B30" i="10"/>
  <c r="B29" i="10"/>
  <c r="B28" i="10"/>
  <c r="B27" i="10"/>
  <c r="B26" i="10"/>
  <c r="B25" i="10"/>
  <c r="B24" i="10"/>
  <c r="B23" i="10"/>
  <c r="B22" i="10"/>
  <c r="B21" i="10"/>
  <c r="B15" i="10"/>
  <c r="B136" i="10" s="1"/>
  <c r="B14" i="10"/>
  <c r="B123" i="10" s="1"/>
  <c r="B13" i="10"/>
  <c r="C60" i="1" s="1"/>
  <c r="B12" i="10"/>
  <c r="B97" i="10" s="1"/>
  <c r="B11" i="10"/>
  <c r="B84" i="10" s="1"/>
  <c r="B10" i="10"/>
  <c r="B71" i="10" s="1"/>
  <c r="B9" i="10"/>
  <c r="B58" i="10" s="1"/>
  <c r="B8" i="10"/>
  <c r="B45" i="10" s="1"/>
  <c r="B7" i="10"/>
  <c r="B32" i="10" s="1"/>
  <c r="B6" i="10"/>
  <c r="C53" i="1" s="1"/>
  <c r="H147" i="10"/>
  <c r="H146" i="10"/>
  <c r="H145" i="10"/>
  <c r="H144" i="10"/>
  <c r="H143" i="10"/>
  <c r="H142" i="10"/>
  <c r="H141" i="10"/>
  <c r="H140" i="10"/>
  <c r="H139" i="10"/>
  <c r="H138" i="10"/>
  <c r="H134" i="10"/>
  <c r="H133" i="10"/>
  <c r="H132" i="10"/>
  <c r="H131" i="10"/>
  <c r="H130" i="10"/>
  <c r="H129" i="10"/>
  <c r="H128" i="10"/>
  <c r="H127" i="10"/>
  <c r="H126" i="10"/>
  <c r="H125" i="10"/>
  <c r="H121" i="10"/>
  <c r="H120" i="10"/>
  <c r="H119" i="10"/>
  <c r="H118" i="10"/>
  <c r="H117" i="10"/>
  <c r="H116" i="10"/>
  <c r="H115" i="10"/>
  <c r="H114" i="10"/>
  <c r="H113" i="10"/>
  <c r="H112" i="10"/>
  <c r="H108" i="10"/>
  <c r="H107" i="10"/>
  <c r="H106" i="10"/>
  <c r="H105" i="10"/>
  <c r="H104" i="10"/>
  <c r="H103" i="10"/>
  <c r="H102" i="10"/>
  <c r="H101" i="10"/>
  <c r="H100" i="10"/>
  <c r="H99" i="10"/>
  <c r="H95" i="10"/>
  <c r="H94" i="10"/>
  <c r="H93" i="10"/>
  <c r="H92" i="10"/>
  <c r="H91" i="10"/>
  <c r="H90" i="10"/>
  <c r="H89" i="10"/>
  <c r="H88" i="10"/>
  <c r="H87" i="10"/>
  <c r="H86" i="10"/>
  <c r="H82" i="10"/>
  <c r="H81" i="10"/>
  <c r="H80" i="10"/>
  <c r="H79" i="10"/>
  <c r="H78" i="10"/>
  <c r="H77" i="10"/>
  <c r="H76" i="10"/>
  <c r="H75" i="10"/>
  <c r="H74" i="10"/>
  <c r="H73" i="10"/>
  <c r="H69" i="10"/>
  <c r="H68" i="10"/>
  <c r="H67" i="10"/>
  <c r="H66" i="10"/>
  <c r="H65" i="10"/>
  <c r="H64" i="10"/>
  <c r="H63" i="10"/>
  <c r="H62" i="10"/>
  <c r="H61" i="10"/>
  <c r="H60" i="10"/>
  <c r="H56" i="10"/>
  <c r="H55" i="10"/>
  <c r="H54" i="10"/>
  <c r="H53" i="10"/>
  <c r="H52" i="10"/>
  <c r="H51" i="10"/>
  <c r="H50" i="10"/>
  <c r="H49" i="10"/>
  <c r="H48" i="10"/>
  <c r="H47" i="10"/>
  <c r="H43" i="10"/>
  <c r="H42" i="10"/>
  <c r="H41" i="10"/>
  <c r="H40" i="10"/>
  <c r="H39" i="10"/>
  <c r="H38" i="10"/>
  <c r="H37" i="10"/>
  <c r="H36" i="10"/>
  <c r="H35" i="10"/>
  <c r="H34" i="10"/>
  <c r="H30" i="10"/>
  <c r="H29" i="10"/>
  <c r="H28" i="10"/>
  <c r="H27" i="10"/>
  <c r="H26" i="10"/>
  <c r="H25" i="10"/>
  <c r="H24" i="10"/>
  <c r="H23" i="10"/>
  <c r="H22" i="10"/>
  <c r="H21" i="10"/>
  <c r="B110" i="10"/>
  <c r="E27" i="1"/>
  <c r="E26" i="1"/>
  <c r="H32" i="1"/>
  <c r="H33" i="1"/>
  <c r="H34" i="1"/>
  <c r="H35" i="1"/>
  <c r="H36" i="1"/>
  <c r="H37" i="1"/>
  <c r="H38" i="1"/>
  <c r="H39" i="1"/>
  <c r="H40" i="1"/>
  <c r="H31" i="1"/>
  <c r="D32" i="1"/>
  <c r="D33" i="1"/>
  <c r="D34" i="1"/>
  <c r="D35" i="1"/>
  <c r="D36" i="1"/>
  <c r="D37" i="1"/>
  <c r="D38" i="1"/>
  <c r="D39" i="1"/>
  <c r="D40" i="1"/>
  <c r="D31" i="1"/>
  <c r="B147" i="9"/>
  <c r="B146" i="9"/>
  <c r="B145" i="9"/>
  <c r="B144" i="9"/>
  <c r="B143" i="9"/>
  <c r="B142" i="9"/>
  <c r="B141" i="9"/>
  <c r="B140" i="9"/>
  <c r="B139" i="9"/>
  <c r="B138" i="9"/>
  <c r="B134" i="9"/>
  <c r="B133" i="9"/>
  <c r="B132" i="9"/>
  <c r="B131" i="9"/>
  <c r="B130" i="9"/>
  <c r="B129" i="9"/>
  <c r="B128" i="9"/>
  <c r="B127" i="9"/>
  <c r="B126" i="9"/>
  <c r="B125" i="9"/>
  <c r="B121" i="9"/>
  <c r="B120" i="9"/>
  <c r="B119" i="9"/>
  <c r="B118" i="9"/>
  <c r="B117" i="9"/>
  <c r="B116" i="9"/>
  <c r="B115" i="9"/>
  <c r="B114" i="9"/>
  <c r="B113" i="9"/>
  <c r="B112" i="9"/>
  <c r="B108" i="9"/>
  <c r="B107" i="9"/>
  <c r="B106" i="9"/>
  <c r="B105" i="9"/>
  <c r="B104" i="9"/>
  <c r="B103" i="9"/>
  <c r="B102" i="9"/>
  <c r="B101" i="9"/>
  <c r="B100" i="9"/>
  <c r="B99" i="9"/>
  <c r="B95" i="9"/>
  <c r="B94" i="9"/>
  <c r="B93" i="9"/>
  <c r="B92" i="9"/>
  <c r="B91" i="9"/>
  <c r="B90" i="9"/>
  <c r="B89" i="9"/>
  <c r="B88" i="9"/>
  <c r="B87" i="9"/>
  <c r="B86" i="9"/>
  <c r="B82" i="9"/>
  <c r="B81" i="9"/>
  <c r="B80" i="9"/>
  <c r="B79" i="9"/>
  <c r="B78" i="9"/>
  <c r="B77" i="9"/>
  <c r="B76" i="9"/>
  <c r="B75" i="9"/>
  <c r="B74" i="9"/>
  <c r="B73" i="9"/>
  <c r="B69" i="9"/>
  <c r="B68" i="9"/>
  <c r="B67" i="9"/>
  <c r="B66" i="9"/>
  <c r="B65" i="9"/>
  <c r="B64" i="9"/>
  <c r="B63" i="9"/>
  <c r="B62" i="9"/>
  <c r="B61" i="9"/>
  <c r="B60" i="9"/>
  <c r="B56" i="9"/>
  <c r="B55" i="9"/>
  <c r="B54" i="9"/>
  <c r="B53" i="9"/>
  <c r="B52" i="9"/>
  <c r="B51" i="9"/>
  <c r="B50" i="9"/>
  <c r="B49" i="9"/>
  <c r="B48" i="9"/>
  <c r="B47" i="9"/>
  <c r="B43" i="9"/>
  <c r="B42" i="9"/>
  <c r="B41" i="9"/>
  <c r="B40" i="9"/>
  <c r="B39" i="9"/>
  <c r="B38" i="9"/>
  <c r="B37" i="9"/>
  <c r="B36" i="9"/>
  <c r="B35" i="9"/>
  <c r="B34" i="9"/>
  <c r="B30" i="9"/>
  <c r="B29" i="9"/>
  <c r="B28" i="9"/>
  <c r="B27" i="9"/>
  <c r="B26" i="9"/>
  <c r="B25" i="9"/>
  <c r="B24" i="9"/>
  <c r="B23" i="9"/>
  <c r="B22" i="9"/>
  <c r="B21" i="9"/>
  <c r="B15" i="9"/>
  <c r="B136" i="9" s="1"/>
  <c r="B14" i="9"/>
  <c r="C39" i="1" s="1"/>
  <c r="B13" i="9"/>
  <c r="B110" i="9" s="1"/>
  <c r="B12" i="9"/>
  <c r="C37" i="1" s="1"/>
  <c r="B11" i="9"/>
  <c r="B84" i="9" s="1"/>
  <c r="B10" i="9"/>
  <c r="B71" i="9" s="1"/>
  <c r="B9" i="9"/>
  <c r="B58" i="9" s="1"/>
  <c r="B8" i="9"/>
  <c r="B45" i="9" s="1"/>
  <c r="B7" i="9"/>
  <c r="B32" i="9" s="1"/>
  <c r="B6" i="9"/>
  <c r="C31" i="1" s="1"/>
  <c r="Q147" i="9"/>
  <c r="H147" i="9"/>
  <c r="Q146" i="9"/>
  <c r="H146" i="9"/>
  <c r="Q145" i="9"/>
  <c r="H145" i="9"/>
  <c r="Q144" i="9"/>
  <c r="H144" i="9"/>
  <c r="Q143" i="9"/>
  <c r="H143" i="9"/>
  <c r="Q142" i="9"/>
  <c r="H142" i="9"/>
  <c r="Q141" i="9"/>
  <c r="H141" i="9"/>
  <c r="Q140" i="9"/>
  <c r="H140" i="9"/>
  <c r="Q139" i="9"/>
  <c r="H139" i="9"/>
  <c r="Q138" i="9"/>
  <c r="H138" i="9"/>
  <c r="Q134" i="9"/>
  <c r="H134" i="9"/>
  <c r="Q133" i="9"/>
  <c r="H133" i="9"/>
  <c r="Q132" i="9"/>
  <c r="H132" i="9"/>
  <c r="Q131" i="9"/>
  <c r="H131" i="9"/>
  <c r="Q130" i="9"/>
  <c r="H130" i="9"/>
  <c r="Q129" i="9"/>
  <c r="H129" i="9"/>
  <c r="Q128" i="9"/>
  <c r="H128" i="9"/>
  <c r="Q127" i="9"/>
  <c r="H127" i="9"/>
  <c r="Q126" i="9"/>
  <c r="H126" i="9"/>
  <c r="Q125" i="9"/>
  <c r="H125" i="9"/>
  <c r="B123" i="9"/>
  <c r="Q121" i="9"/>
  <c r="H121" i="9"/>
  <c r="Q120" i="9"/>
  <c r="H120" i="9"/>
  <c r="Q119" i="9"/>
  <c r="H119" i="9"/>
  <c r="Q118" i="9"/>
  <c r="H118" i="9"/>
  <c r="Q117" i="9"/>
  <c r="H117" i="9"/>
  <c r="Q116" i="9"/>
  <c r="H116" i="9"/>
  <c r="Q115" i="9"/>
  <c r="H115" i="9"/>
  <c r="Q114" i="9"/>
  <c r="H114" i="9"/>
  <c r="Q113" i="9"/>
  <c r="H113" i="9"/>
  <c r="Q112" i="9"/>
  <c r="H112" i="9"/>
  <c r="Q108" i="9"/>
  <c r="H108" i="9"/>
  <c r="Q107" i="9"/>
  <c r="H107" i="9"/>
  <c r="Q106" i="9"/>
  <c r="H106" i="9"/>
  <c r="Q105" i="9"/>
  <c r="H105" i="9"/>
  <c r="Q104" i="9"/>
  <c r="H104" i="9"/>
  <c r="Q103" i="9"/>
  <c r="H103" i="9"/>
  <c r="Q102" i="9"/>
  <c r="H102" i="9"/>
  <c r="Q101" i="9"/>
  <c r="H101" i="9"/>
  <c r="Q100" i="9"/>
  <c r="H100" i="9"/>
  <c r="Q99" i="9"/>
  <c r="H99" i="9"/>
  <c r="B97" i="9"/>
  <c r="Q95" i="9"/>
  <c r="H95" i="9"/>
  <c r="Q94" i="9"/>
  <c r="H94" i="9"/>
  <c r="Q93" i="9"/>
  <c r="H93" i="9"/>
  <c r="Q92" i="9"/>
  <c r="H92" i="9"/>
  <c r="Q91" i="9"/>
  <c r="H91" i="9"/>
  <c r="Q90" i="9"/>
  <c r="H90" i="9"/>
  <c r="Q89" i="9"/>
  <c r="H89" i="9"/>
  <c r="Q88" i="9"/>
  <c r="H88" i="9"/>
  <c r="Q87" i="9"/>
  <c r="H87" i="9"/>
  <c r="Q86" i="9"/>
  <c r="H86" i="9"/>
  <c r="Q82" i="9"/>
  <c r="H82" i="9"/>
  <c r="Q81" i="9"/>
  <c r="H81" i="9"/>
  <c r="Q80" i="9"/>
  <c r="H80" i="9"/>
  <c r="Q79" i="9"/>
  <c r="H79" i="9"/>
  <c r="Q78" i="9"/>
  <c r="H78" i="9"/>
  <c r="Q77" i="9"/>
  <c r="H77" i="9"/>
  <c r="Q76" i="9"/>
  <c r="H76" i="9"/>
  <c r="Q75" i="9"/>
  <c r="H75" i="9"/>
  <c r="Q74" i="9"/>
  <c r="H74" i="9"/>
  <c r="Q73" i="9"/>
  <c r="H73" i="9"/>
  <c r="Q69" i="9"/>
  <c r="H69" i="9"/>
  <c r="Q68" i="9"/>
  <c r="H68" i="9"/>
  <c r="Q67" i="9"/>
  <c r="H67" i="9"/>
  <c r="Q66" i="9"/>
  <c r="H66" i="9"/>
  <c r="Q65" i="9"/>
  <c r="H65" i="9"/>
  <c r="Q64" i="9"/>
  <c r="H64" i="9"/>
  <c r="Q63" i="9"/>
  <c r="H63" i="9"/>
  <c r="Q62" i="9"/>
  <c r="H62" i="9"/>
  <c r="Q61" i="9"/>
  <c r="H61" i="9"/>
  <c r="Q60" i="9"/>
  <c r="H60" i="9"/>
  <c r="Q56" i="9"/>
  <c r="H56" i="9"/>
  <c r="Q55" i="9"/>
  <c r="H55" i="9"/>
  <c r="Q54" i="9"/>
  <c r="H54" i="9"/>
  <c r="Q53" i="9"/>
  <c r="H53" i="9"/>
  <c r="Q52" i="9"/>
  <c r="H52" i="9"/>
  <c r="Q51" i="9"/>
  <c r="H51" i="9"/>
  <c r="Q50" i="9"/>
  <c r="H50" i="9"/>
  <c r="Q49" i="9"/>
  <c r="H49" i="9"/>
  <c r="Q48" i="9"/>
  <c r="H48" i="9"/>
  <c r="Q47" i="9"/>
  <c r="H47" i="9"/>
  <c r="Q43" i="9"/>
  <c r="H43" i="9"/>
  <c r="Q42" i="9"/>
  <c r="H42" i="9"/>
  <c r="Q41" i="9"/>
  <c r="H41" i="9"/>
  <c r="Q40" i="9"/>
  <c r="H40" i="9"/>
  <c r="Q39" i="9"/>
  <c r="H39" i="9"/>
  <c r="Q38" i="9"/>
  <c r="H38" i="9"/>
  <c r="Q37" i="9"/>
  <c r="H37" i="9"/>
  <c r="Q36" i="9"/>
  <c r="H36" i="9"/>
  <c r="Q35" i="9"/>
  <c r="H35" i="9"/>
  <c r="Q34" i="9"/>
  <c r="H34" i="9"/>
  <c r="Q30" i="9"/>
  <c r="H30" i="9"/>
  <c r="Q29" i="9"/>
  <c r="H29" i="9"/>
  <c r="Q28" i="9"/>
  <c r="H28" i="9"/>
  <c r="Q27" i="9"/>
  <c r="H27" i="9"/>
  <c r="Q26" i="9"/>
  <c r="H26" i="9"/>
  <c r="Q25" i="9"/>
  <c r="H25" i="9"/>
  <c r="Q24" i="9"/>
  <c r="H24" i="9"/>
  <c r="Q23" i="9"/>
  <c r="H23" i="9"/>
  <c r="Q22" i="9"/>
  <c r="H22" i="9"/>
  <c r="Q21" i="9"/>
  <c r="H21" i="9"/>
  <c r="E5" i="1"/>
  <c r="E4" i="1"/>
  <c r="H18" i="1"/>
  <c r="H10" i="1"/>
  <c r="H11" i="1"/>
  <c r="H12" i="1"/>
  <c r="H13" i="1"/>
  <c r="H14" i="1"/>
  <c r="H15" i="1"/>
  <c r="H16" i="1"/>
  <c r="H17" i="1"/>
  <c r="D10" i="1"/>
  <c r="D11" i="1"/>
  <c r="D12" i="1"/>
  <c r="D13" i="1"/>
  <c r="D14" i="1"/>
  <c r="D15" i="1"/>
  <c r="D16" i="1"/>
  <c r="D17" i="1"/>
  <c r="D18" i="1"/>
  <c r="D9" i="1"/>
  <c r="B15" i="2"/>
  <c r="C18" i="1" s="1"/>
  <c r="B14" i="2"/>
  <c r="C17" i="1" s="1"/>
  <c r="B13" i="2"/>
  <c r="C16" i="1" s="1"/>
  <c r="B12" i="2"/>
  <c r="C15" i="1" s="1"/>
  <c r="B11" i="2"/>
  <c r="C14" i="1" s="1"/>
  <c r="B10" i="2"/>
  <c r="C13" i="1" s="1"/>
  <c r="B9" i="2"/>
  <c r="C12" i="1" s="1"/>
  <c r="B8" i="2"/>
  <c r="C11" i="1" s="1"/>
  <c r="B7" i="2"/>
  <c r="B6" i="2"/>
  <c r="C9" i="1" s="1"/>
  <c r="B19" i="9" l="1"/>
  <c r="P8" i="9"/>
  <c r="I33" i="1" s="1"/>
  <c r="C36" i="1"/>
  <c r="G7" i="10"/>
  <c r="E54" i="1" s="1"/>
  <c r="G11" i="10"/>
  <c r="E58" i="1" s="1"/>
  <c r="G6" i="10"/>
  <c r="E53" i="1" s="1"/>
  <c r="C59" i="1"/>
  <c r="C54" i="1"/>
  <c r="C55" i="1"/>
  <c r="C61" i="1"/>
  <c r="C56" i="1"/>
  <c r="G13" i="10"/>
  <c r="E60" i="1" s="1"/>
  <c r="C62" i="1"/>
  <c r="C57" i="1"/>
  <c r="G9" i="10"/>
  <c r="E56" i="1" s="1"/>
  <c r="C58" i="1"/>
  <c r="G14" i="10"/>
  <c r="E61" i="1" s="1"/>
  <c r="P12" i="9"/>
  <c r="I37" i="1" s="1"/>
  <c r="C35" i="1"/>
  <c r="P11" i="9"/>
  <c r="I36" i="1" s="1"/>
  <c r="C34" i="1"/>
  <c r="C33" i="1"/>
  <c r="G9" i="9"/>
  <c r="E34" i="1" s="1"/>
  <c r="G15" i="9"/>
  <c r="E40" i="1" s="1"/>
  <c r="P9" i="9"/>
  <c r="I34" i="1" s="1"/>
  <c r="P10" i="9"/>
  <c r="I35" i="1" s="1"/>
  <c r="C40" i="1"/>
  <c r="C32" i="1"/>
  <c r="P13" i="9"/>
  <c r="I38" i="1" s="1"/>
  <c r="G11" i="9"/>
  <c r="E36" i="1" s="1"/>
  <c r="C38" i="1"/>
  <c r="G15" i="10"/>
  <c r="E62" i="1" s="1"/>
  <c r="G10" i="10"/>
  <c r="E57" i="1" s="1"/>
  <c r="G8" i="10"/>
  <c r="E55" i="1" s="1"/>
  <c r="G12" i="10"/>
  <c r="E59" i="1" s="1"/>
  <c r="B19" i="10"/>
  <c r="G13" i="9"/>
  <c r="E38" i="1" s="1"/>
  <c r="K15" i="9"/>
  <c r="P15" i="9"/>
  <c r="I40" i="1" s="1"/>
  <c r="P14" i="9"/>
  <c r="I39" i="1" s="1"/>
  <c r="P7" i="9"/>
  <c r="I32" i="1" s="1"/>
  <c r="G14" i="9"/>
  <c r="E39" i="1" s="1"/>
  <c r="G10" i="9"/>
  <c r="E35" i="1" s="1"/>
  <c r="G6" i="9"/>
  <c r="E31" i="1" s="1"/>
  <c r="G8" i="9"/>
  <c r="E33" i="1" s="1"/>
  <c r="G12" i="9"/>
  <c r="E37" i="1" s="1"/>
  <c r="K8" i="9"/>
  <c r="K9" i="9"/>
  <c r="G34" i="1" s="1"/>
  <c r="P6" i="9"/>
  <c r="I31" i="1" s="1"/>
  <c r="K10" i="9"/>
  <c r="G35" i="1" s="1"/>
  <c r="K11" i="9"/>
  <c r="K12" i="9"/>
  <c r="G7" i="9"/>
  <c r="E32" i="1" s="1"/>
  <c r="K13" i="9"/>
  <c r="G38" i="1" s="1"/>
  <c r="K6" i="9"/>
  <c r="K14" i="9"/>
  <c r="G39" i="1" s="1"/>
  <c r="K7" i="9"/>
  <c r="K9" i="2"/>
  <c r="G12" i="1" s="1"/>
  <c r="B19" i="2"/>
  <c r="B45" i="2"/>
  <c r="B58" i="2"/>
  <c r="B32" i="2"/>
  <c r="B71" i="2"/>
  <c r="B84" i="2"/>
  <c r="B97" i="2"/>
  <c r="B110" i="2"/>
  <c r="B123" i="2"/>
  <c r="B136" i="2"/>
  <c r="K10" i="2"/>
  <c r="K14" i="2"/>
  <c r="K11" i="2"/>
  <c r="K13" i="2"/>
  <c r="K15" i="2"/>
  <c r="K6" i="2"/>
  <c r="K7" i="2"/>
  <c r="K8" i="2"/>
  <c r="K12" i="2"/>
  <c r="Q86" i="2"/>
  <c r="Q87" i="2"/>
  <c r="Q88" i="2"/>
  <c r="Q89" i="2"/>
  <c r="Q90" i="2"/>
  <c r="Q91" i="2"/>
  <c r="Q92" i="2"/>
  <c r="Q93" i="2"/>
  <c r="Q94" i="2"/>
  <c r="Q95" i="2"/>
  <c r="Q60" i="2"/>
  <c r="Q61" i="2"/>
  <c r="Q62" i="2"/>
  <c r="Q63" i="2"/>
  <c r="Q64" i="2"/>
  <c r="Q65" i="2"/>
  <c r="Q66" i="2"/>
  <c r="Q67" i="2"/>
  <c r="Q68" i="2"/>
  <c r="Q69" i="2"/>
  <c r="Q47" i="2"/>
  <c r="Q48" i="2"/>
  <c r="Q49" i="2"/>
  <c r="Q50" i="2"/>
  <c r="Q51" i="2"/>
  <c r="Q52" i="2"/>
  <c r="Q53" i="2"/>
  <c r="Q54" i="2"/>
  <c r="Q55" i="2"/>
  <c r="Q56" i="2"/>
  <c r="B47" i="2"/>
  <c r="H47" i="2"/>
  <c r="B48" i="2"/>
  <c r="H48" i="2"/>
  <c r="B49" i="2"/>
  <c r="H49" i="2"/>
  <c r="B50" i="2"/>
  <c r="H50" i="2"/>
  <c r="B51" i="2"/>
  <c r="H51" i="2"/>
  <c r="B52" i="2"/>
  <c r="H52" i="2"/>
  <c r="B53" i="2"/>
  <c r="H53" i="2"/>
  <c r="B54" i="2"/>
  <c r="H54" i="2"/>
  <c r="B55" i="2"/>
  <c r="H55" i="2"/>
  <c r="B56" i="2"/>
  <c r="H56" i="2"/>
  <c r="B60" i="2"/>
  <c r="H60" i="2"/>
  <c r="B61" i="2"/>
  <c r="H61" i="2"/>
  <c r="B62" i="2"/>
  <c r="H62" i="2"/>
  <c r="B63" i="2"/>
  <c r="H63" i="2"/>
  <c r="B64" i="2"/>
  <c r="H64" i="2"/>
  <c r="B65" i="2"/>
  <c r="H65" i="2"/>
  <c r="B66" i="2"/>
  <c r="H66" i="2"/>
  <c r="B67" i="2"/>
  <c r="H67" i="2"/>
  <c r="B68" i="2"/>
  <c r="H68" i="2"/>
  <c r="B69" i="2"/>
  <c r="H69" i="2"/>
  <c r="Q147" i="2"/>
  <c r="Q146" i="2"/>
  <c r="Q145" i="2"/>
  <c r="Q144" i="2"/>
  <c r="Q143" i="2"/>
  <c r="Q142" i="2"/>
  <c r="Q141" i="2"/>
  <c r="Q140" i="2"/>
  <c r="Q139" i="2"/>
  <c r="Q138" i="2"/>
  <c r="Q134" i="2"/>
  <c r="Q133" i="2"/>
  <c r="Q132" i="2"/>
  <c r="Q131" i="2"/>
  <c r="Q130" i="2"/>
  <c r="Q129" i="2"/>
  <c r="Q128" i="2"/>
  <c r="Q127" i="2"/>
  <c r="Q126" i="2"/>
  <c r="Q125" i="2"/>
  <c r="Q121" i="2"/>
  <c r="Q120" i="2"/>
  <c r="Q119" i="2"/>
  <c r="Q118" i="2"/>
  <c r="Q117" i="2"/>
  <c r="Q116" i="2"/>
  <c r="Q115" i="2"/>
  <c r="Q114" i="2"/>
  <c r="Q113" i="2"/>
  <c r="Q112" i="2"/>
  <c r="Q108" i="2"/>
  <c r="Q107" i="2"/>
  <c r="Q106" i="2"/>
  <c r="Q105" i="2"/>
  <c r="Q104" i="2"/>
  <c r="Q103" i="2"/>
  <c r="Q102" i="2"/>
  <c r="Q101" i="2"/>
  <c r="Q100" i="2"/>
  <c r="Q99" i="2"/>
  <c r="Q82" i="2"/>
  <c r="Q81" i="2"/>
  <c r="Q80" i="2"/>
  <c r="Q79" i="2"/>
  <c r="Q78" i="2"/>
  <c r="Q77" i="2"/>
  <c r="Q76" i="2"/>
  <c r="Q75" i="2"/>
  <c r="Q74" i="2"/>
  <c r="Q73" i="2"/>
  <c r="Q43" i="2"/>
  <c r="Q42" i="2"/>
  <c r="Q41" i="2"/>
  <c r="Q40" i="2"/>
  <c r="Q39" i="2"/>
  <c r="Q38" i="2"/>
  <c r="Q37" i="2"/>
  <c r="Q36" i="2"/>
  <c r="Q35" i="2"/>
  <c r="Q34" i="2"/>
  <c r="Q30" i="2"/>
  <c r="Q29" i="2"/>
  <c r="Q28" i="2"/>
  <c r="Q27" i="2"/>
  <c r="Q26" i="2"/>
  <c r="Q25" i="2"/>
  <c r="Q24" i="2"/>
  <c r="Q23" i="2"/>
  <c r="Q22" i="2"/>
  <c r="Q21" i="2"/>
  <c r="B147" i="2"/>
  <c r="B146" i="2"/>
  <c r="B145" i="2"/>
  <c r="B144" i="2"/>
  <c r="B143" i="2"/>
  <c r="B142" i="2"/>
  <c r="B141" i="2"/>
  <c r="B140" i="2"/>
  <c r="B139" i="2"/>
  <c r="B138" i="2"/>
  <c r="B134" i="2"/>
  <c r="B133" i="2"/>
  <c r="B132" i="2"/>
  <c r="B131" i="2"/>
  <c r="B130" i="2"/>
  <c r="B129" i="2"/>
  <c r="B128" i="2"/>
  <c r="B127" i="2"/>
  <c r="B126" i="2"/>
  <c r="B125" i="2"/>
  <c r="B121" i="2"/>
  <c r="B120" i="2"/>
  <c r="B119" i="2"/>
  <c r="B118" i="2"/>
  <c r="B117" i="2"/>
  <c r="B116" i="2"/>
  <c r="B115" i="2"/>
  <c r="B114" i="2"/>
  <c r="B113" i="2"/>
  <c r="B112" i="2"/>
  <c r="B108" i="2"/>
  <c r="B107" i="2"/>
  <c r="B106" i="2"/>
  <c r="B105" i="2"/>
  <c r="B104" i="2"/>
  <c r="B103" i="2"/>
  <c r="B102" i="2"/>
  <c r="B101" i="2"/>
  <c r="B100" i="2"/>
  <c r="B99" i="2"/>
  <c r="B95" i="2"/>
  <c r="B94" i="2"/>
  <c r="B93" i="2"/>
  <c r="B92" i="2"/>
  <c r="B91" i="2"/>
  <c r="B90" i="2"/>
  <c r="B89" i="2"/>
  <c r="B88" i="2"/>
  <c r="B87" i="2"/>
  <c r="B86" i="2"/>
  <c r="B82" i="2"/>
  <c r="B81" i="2"/>
  <c r="B80" i="2"/>
  <c r="B79" i="2"/>
  <c r="B78" i="2"/>
  <c r="B77" i="2"/>
  <c r="B76" i="2"/>
  <c r="B75" i="2"/>
  <c r="B74" i="2"/>
  <c r="B73" i="2"/>
  <c r="B43" i="2"/>
  <c r="B42" i="2"/>
  <c r="B41" i="2"/>
  <c r="B40" i="2"/>
  <c r="B39" i="2"/>
  <c r="B38" i="2"/>
  <c r="B37" i="2"/>
  <c r="B36" i="2"/>
  <c r="B35" i="2"/>
  <c r="B34" i="2"/>
  <c r="B30" i="2"/>
  <c r="B29" i="2"/>
  <c r="B28" i="2"/>
  <c r="B27" i="2"/>
  <c r="B26" i="2"/>
  <c r="B25" i="2"/>
  <c r="B24" i="2"/>
  <c r="B23" i="2"/>
  <c r="B22" i="2"/>
  <c r="B21" i="2"/>
  <c r="H147" i="2"/>
  <c r="H146" i="2"/>
  <c r="H145" i="2"/>
  <c r="H144" i="2"/>
  <c r="H143" i="2"/>
  <c r="H142" i="2"/>
  <c r="H141" i="2"/>
  <c r="H140" i="2"/>
  <c r="H139" i="2"/>
  <c r="H138" i="2"/>
  <c r="H134" i="2"/>
  <c r="H133" i="2"/>
  <c r="H132" i="2"/>
  <c r="H131" i="2"/>
  <c r="H130" i="2"/>
  <c r="H129" i="2"/>
  <c r="H128" i="2"/>
  <c r="H127" i="2"/>
  <c r="H126" i="2"/>
  <c r="H125" i="2"/>
  <c r="H121" i="2"/>
  <c r="H120" i="2"/>
  <c r="H119" i="2"/>
  <c r="H118" i="2"/>
  <c r="H117" i="2"/>
  <c r="H116" i="2"/>
  <c r="H115" i="2"/>
  <c r="H114" i="2"/>
  <c r="H113" i="2"/>
  <c r="H112" i="2"/>
  <c r="H108" i="2"/>
  <c r="H107" i="2"/>
  <c r="H106" i="2"/>
  <c r="H105" i="2"/>
  <c r="H104" i="2"/>
  <c r="H103" i="2"/>
  <c r="H102" i="2"/>
  <c r="H101" i="2"/>
  <c r="H100" i="2"/>
  <c r="H99" i="2"/>
  <c r="H95" i="2"/>
  <c r="H94" i="2"/>
  <c r="H93" i="2"/>
  <c r="H92" i="2"/>
  <c r="H91" i="2"/>
  <c r="H90" i="2"/>
  <c r="H89" i="2"/>
  <c r="H88" i="2"/>
  <c r="H87" i="2"/>
  <c r="H86" i="2"/>
  <c r="H82" i="2"/>
  <c r="H81" i="2"/>
  <c r="H80" i="2"/>
  <c r="H79" i="2"/>
  <c r="H78" i="2"/>
  <c r="H77" i="2"/>
  <c r="H76" i="2"/>
  <c r="H75" i="2"/>
  <c r="H74" i="2"/>
  <c r="H73" i="2"/>
  <c r="H43" i="2"/>
  <c r="H42" i="2"/>
  <c r="H41" i="2"/>
  <c r="H40" i="2"/>
  <c r="H39" i="2"/>
  <c r="H38" i="2"/>
  <c r="H37" i="2"/>
  <c r="H36" i="2"/>
  <c r="H35" i="2"/>
  <c r="H34" i="2"/>
  <c r="H9" i="1"/>
  <c r="C21" i="1"/>
  <c r="E41" i="1" l="1"/>
  <c r="E63" i="1"/>
  <c r="I65" i="1" s="1"/>
  <c r="I41" i="1"/>
  <c r="I43" i="1" s="1"/>
  <c r="K62" i="9"/>
  <c r="K97" i="9"/>
  <c r="G37" i="1"/>
  <c r="K84" i="9"/>
  <c r="G36" i="1"/>
  <c r="K58" i="9"/>
  <c r="K35" i="9"/>
  <c r="G32" i="1"/>
  <c r="K123" i="9"/>
  <c r="K65" i="9"/>
  <c r="K30" i="9"/>
  <c r="G31" i="1"/>
  <c r="K54" i="9"/>
  <c r="G33" i="1"/>
  <c r="K141" i="9"/>
  <c r="G40" i="1"/>
  <c r="K64" i="9"/>
  <c r="K63" i="9"/>
  <c r="K68" i="2"/>
  <c r="K63" i="2"/>
  <c r="K32" i="9"/>
  <c r="K144" i="9"/>
  <c r="K145" i="9"/>
  <c r="K138" i="9"/>
  <c r="K146" i="9"/>
  <c r="K41" i="9"/>
  <c r="K139" i="9"/>
  <c r="K147" i="9"/>
  <c r="K43" i="9"/>
  <c r="K40" i="9"/>
  <c r="K142" i="9"/>
  <c r="K140" i="9"/>
  <c r="K136" i="9"/>
  <c r="K42" i="9"/>
  <c r="K34" i="9"/>
  <c r="K143" i="9"/>
  <c r="K47" i="9"/>
  <c r="K50" i="9"/>
  <c r="K108" i="9"/>
  <c r="K100" i="9"/>
  <c r="K107" i="9"/>
  <c r="K99" i="9"/>
  <c r="K106" i="9"/>
  <c r="K105" i="9"/>
  <c r="K104" i="9"/>
  <c r="K103" i="9"/>
  <c r="K102" i="9"/>
  <c r="K101" i="9"/>
  <c r="K53" i="9"/>
  <c r="K55" i="9"/>
  <c r="K56" i="9"/>
  <c r="K49" i="9"/>
  <c r="K48" i="9"/>
  <c r="K89" i="9"/>
  <c r="K88" i="9"/>
  <c r="K95" i="9"/>
  <c r="K87" i="9"/>
  <c r="K94" i="9"/>
  <c r="K86" i="9"/>
  <c r="K93" i="9"/>
  <c r="K92" i="9"/>
  <c r="K91" i="9"/>
  <c r="K90" i="9"/>
  <c r="K78" i="9"/>
  <c r="K77" i="9"/>
  <c r="K76" i="9"/>
  <c r="K71" i="9"/>
  <c r="K75" i="9"/>
  <c r="K82" i="9"/>
  <c r="K74" i="9"/>
  <c r="K81" i="9"/>
  <c r="K73" i="9"/>
  <c r="K80" i="9"/>
  <c r="K79" i="9"/>
  <c r="K36" i="9"/>
  <c r="K37" i="9"/>
  <c r="K39" i="9"/>
  <c r="K38" i="9"/>
  <c r="K51" i="9"/>
  <c r="K45" i="9"/>
  <c r="K52" i="9"/>
  <c r="K130" i="9"/>
  <c r="K129" i="9"/>
  <c r="K128" i="9"/>
  <c r="K127" i="9"/>
  <c r="K134" i="9"/>
  <c r="K126" i="9"/>
  <c r="K133" i="9"/>
  <c r="K125" i="9"/>
  <c r="K132" i="9"/>
  <c r="K131" i="9"/>
  <c r="K66" i="9"/>
  <c r="K67" i="9"/>
  <c r="K61" i="9"/>
  <c r="K60" i="9"/>
  <c r="K69" i="9"/>
  <c r="K68" i="9"/>
  <c r="K119" i="9"/>
  <c r="K118" i="9"/>
  <c r="K117" i="9"/>
  <c r="K116" i="9"/>
  <c r="K115" i="9"/>
  <c r="K114" i="9"/>
  <c r="K121" i="9"/>
  <c r="K113" i="9"/>
  <c r="K120" i="9"/>
  <c r="K112" i="9"/>
  <c r="K110" i="9"/>
  <c r="K62" i="2"/>
  <c r="K58" i="2"/>
  <c r="K69" i="2"/>
  <c r="K67" i="2"/>
  <c r="K65" i="2"/>
  <c r="K66" i="2"/>
  <c r="K61" i="2"/>
  <c r="K60" i="2"/>
  <c r="K64" i="2"/>
  <c r="K128" i="2"/>
  <c r="K127" i="2"/>
  <c r="K134" i="2"/>
  <c r="K126" i="2"/>
  <c r="K131" i="2"/>
  <c r="K133" i="2"/>
  <c r="K125" i="2"/>
  <c r="K132" i="2"/>
  <c r="K130" i="2"/>
  <c r="K129" i="2"/>
  <c r="K95" i="2"/>
  <c r="K87" i="2"/>
  <c r="K94" i="2"/>
  <c r="K86" i="2"/>
  <c r="K93" i="2"/>
  <c r="K92" i="2"/>
  <c r="K91" i="2"/>
  <c r="K89" i="2"/>
  <c r="K88" i="2"/>
  <c r="K90" i="2"/>
  <c r="K106" i="2"/>
  <c r="K105" i="2"/>
  <c r="K104" i="2"/>
  <c r="K101" i="2"/>
  <c r="K103" i="2"/>
  <c r="K102" i="2"/>
  <c r="K108" i="2"/>
  <c r="K100" i="2"/>
  <c r="K107" i="2"/>
  <c r="K99" i="2"/>
  <c r="K76" i="2"/>
  <c r="K75" i="2"/>
  <c r="K82" i="2"/>
  <c r="K74" i="2"/>
  <c r="K80" i="2"/>
  <c r="K81" i="2"/>
  <c r="K73" i="2"/>
  <c r="K79" i="2"/>
  <c r="K78" i="2"/>
  <c r="K77" i="2"/>
  <c r="K43" i="2"/>
  <c r="K35" i="2"/>
  <c r="K42" i="2"/>
  <c r="K41" i="2"/>
  <c r="K38" i="2"/>
  <c r="K40" i="2"/>
  <c r="K39" i="2"/>
  <c r="K37" i="2"/>
  <c r="K36" i="2"/>
  <c r="K54" i="2"/>
  <c r="K53" i="2"/>
  <c r="K52" i="2"/>
  <c r="K51" i="2"/>
  <c r="K50" i="2"/>
  <c r="K49" i="2"/>
  <c r="K56" i="2"/>
  <c r="K48" i="2"/>
  <c r="K55" i="2"/>
  <c r="K47" i="2"/>
  <c r="K147" i="2"/>
  <c r="K139" i="2"/>
  <c r="K146" i="2"/>
  <c r="K138" i="2"/>
  <c r="K145" i="2"/>
  <c r="K144" i="2"/>
  <c r="K143" i="2"/>
  <c r="K141" i="2"/>
  <c r="K140" i="2"/>
  <c r="K142" i="2"/>
  <c r="K117" i="2"/>
  <c r="K112" i="2"/>
  <c r="K116" i="2"/>
  <c r="K115" i="2"/>
  <c r="K114" i="2"/>
  <c r="K121" i="2"/>
  <c r="K113" i="2"/>
  <c r="K120" i="2"/>
  <c r="K119" i="2"/>
  <c r="K118" i="2"/>
  <c r="K34" i="2"/>
  <c r="K28" i="9"/>
  <c r="K29" i="9"/>
  <c r="K25" i="9"/>
  <c r="K24" i="9"/>
  <c r="K21" i="9"/>
  <c r="K26" i="9"/>
  <c r="K22" i="9"/>
  <c r="K27" i="9"/>
  <c r="K23" i="9"/>
  <c r="K19" i="9"/>
  <c r="K136" i="2"/>
  <c r="G18" i="1"/>
  <c r="G16" i="1"/>
  <c r="K110" i="2"/>
  <c r="G14" i="1"/>
  <c r="K84" i="2"/>
  <c r="G17" i="1"/>
  <c r="K123" i="2"/>
  <c r="G13" i="1"/>
  <c r="K71" i="2"/>
  <c r="G15" i="1"/>
  <c r="K97" i="2"/>
  <c r="G11" i="1"/>
  <c r="K45" i="2"/>
  <c r="G10" i="1"/>
  <c r="K32" i="2"/>
  <c r="K19" i="2"/>
  <c r="G9" i="1"/>
  <c r="K30" i="2"/>
  <c r="K29" i="2"/>
  <c r="K28" i="2"/>
  <c r="K21" i="2"/>
  <c r="K27" i="2"/>
  <c r="K26" i="2"/>
  <c r="K25" i="2"/>
  <c r="K24" i="2"/>
  <c r="K23" i="2"/>
  <c r="K22" i="2"/>
  <c r="P11" i="2"/>
  <c r="I14" i="1" s="1"/>
  <c r="P9" i="2"/>
  <c r="I12" i="1" s="1"/>
  <c r="P6" i="2"/>
  <c r="P14" i="2"/>
  <c r="I17" i="1" s="1"/>
  <c r="P8" i="2"/>
  <c r="I11" i="1" s="1"/>
  <c r="P13" i="2"/>
  <c r="I16" i="1" s="1"/>
  <c r="P10" i="2"/>
  <c r="I13" i="1" s="1"/>
  <c r="P7" i="2"/>
  <c r="I10" i="1" s="1"/>
  <c r="P15" i="2"/>
  <c r="I18" i="1" s="1"/>
  <c r="P12" i="2"/>
  <c r="I15" i="1" s="1"/>
  <c r="G12" i="2"/>
  <c r="E15" i="1" s="1"/>
  <c r="G9" i="2"/>
  <c r="E12" i="1" s="1"/>
  <c r="G14" i="2"/>
  <c r="E17" i="1" s="1"/>
  <c r="G8" i="2"/>
  <c r="E11" i="1" s="1"/>
  <c r="G11" i="2"/>
  <c r="E14" i="1" s="1"/>
  <c r="G15" i="2"/>
  <c r="E18" i="1" s="1"/>
  <c r="G13" i="2"/>
  <c r="E16" i="1" s="1"/>
  <c r="G7" i="2"/>
  <c r="E10" i="1" s="1"/>
  <c r="G10" i="2"/>
  <c r="E13" i="1" s="1"/>
  <c r="H21" i="2"/>
  <c r="H22" i="2"/>
  <c r="H23" i="2"/>
  <c r="H24" i="2"/>
  <c r="H25" i="2"/>
  <c r="H26" i="2"/>
  <c r="H27" i="2"/>
  <c r="H28" i="2"/>
  <c r="H29" i="2"/>
  <c r="H30" i="2"/>
  <c r="C10" i="1" l="1"/>
  <c r="G6" i="2"/>
  <c r="E9" i="1" s="1"/>
  <c r="I9" i="1"/>
  <c r="I19" i="1" l="1"/>
  <c r="E19" i="1"/>
  <c r="I21" i="1" l="1"/>
  <c r="I69" i="1" s="1"/>
</calcChain>
</file>

<file path=xl/sharedStrings.xml><?xml version="1.0" encoding="utf-8"?>
<sst xmlns="http://schemas.openxmlformats.org/spreadsheetml/2006/main" count="2697" uniqueCount="248">
  <si>
    <t>PROTOTYP</t>
  </si>
  <si>
    <t>Nr pozycji</t>
  </si>
  <si>
    <t>Nazwa zadania</t>
  </si>
  <si>
    <t>Kategoria wydatku</t>
  </si>
  <si>
    <t>Jednostka miary</t>
  </si>
  <si>
    <t>Liczba jednostek</t>
  </si>
  <si>
    <t>SUMA</t>
  </si>
  <si>
    <t>Uzasadnienie kosztu</t>
  </si>
  <si>
    <t>Kategorie kosztów</t>
  </si>
  <si>
    <t>wynagrodzenia</t>
  </si>
  <si>
    <t>usługi obce</t>
  </si>
  <si>
    <t>materiały</t>
  </si>
  <si>
    <t>Jednostki</t>
  </si>
  <si>
    <t>Szt.</t>
  </si>
  <si>
    <t>n/d</t>
  </si>
  <si>
    <t>Koszt jednostkowy</t>
  </si>
  <si>
    <t>Nazwa kosztu w zadaniu</t>
  </si>
  <si>
    <t>Przykładowy koszt 1 w zadaniu 1</t>
  </si>
  <si>
    <t>Koszt zadania</t>
  </si>
  <si>
    <t>godzina</t>
  </si>
  <si>
    <t>Przykładowy koszt 2 w zadaniu 1</t>
  </si>
  <si>
    <t>Przykładowy koszt 3 w zadaniu 1</t>
  </si>
  <si>
    <t>Przykładowy koszt 4 w zadaniu 1</t>
  </si>
  <si>
    <t>Przykładowy koszt 5 w zadaniu 1</t>
  </si>
  <si>
    <t>Przykładowy koszt 6 w zadaniu 1</t>
  </si>
  <si>
    <t>Przykładowy koszt 8 w zadaniu 1</t>
  </si>
  <si>
    <t>Przykładowy koszt 7 w zadaniu 1</t>
  </si>
  <si>
    <t>Przykładowy koszt 9 w zadaniu 1</t>
  </si>
  <si>
    <t>Przykładowy koszt 10 w zadaniu 1</t>
  </si>
  <si>
    <t>Zadania na etapie prototypu</t>
  </si>
  <si>
    <t>TESTOWANIE</t>
  </si>
  <si>
    <t>ETAP 1: Prototyp 1 i jego testowanie</t>
  </si>
  <si>
    <t>Koszt</t>
  </si>
  <si>
    <t>Nr zadania</t>
  </si>
  <si>
    <t>ETAP 2: Prototyp 2 i jego testowanie</t>
  </si>
  <si>
    <t>ETAP 3: Prototyp 3</t>
  </si>
  <si>
    <t>RAZEM ETAP 1:</t>
  </si>
  <si>
    <t>Harmonogram:</t>
  </si>
  <si>
    <t>Start (tydzień):</t>
  </si>
  <si>
    <t>Koniec (tydzień):</t>
  </si>
  <si>
    <t>RAZEM BUDŻET PROJEKTU:</t>
  </si>
  <si>
    <t>Zadania na etapie testowania</t>
  </si>
  <si>
    <t>RAZEM PROTOTYP 1:</t>
  </si>
  <si>
    <t>RAZEM TESTOWANIE 1:</t>
  </si>
  <si>
    <t>Początek realizacji</t>
  </si>
  <si>
    <t>Koniec realizacji</t>
  </si>
  <si>
    <t>Lp.</t>
  </si>
  <si>
    <t>Towar/Usługa</t>
  </si>
  <si>
    <t>Standard - warunki kwalifikowania wydatku na etapie oceny projektów</t>
  </si>
  <si>
    <t xml:space="preserve">Maksymalna cena rynkowa (brutto)                                                  </t>
  </si>
  <si>
    <t>Dodatkowe zalecenia IZ/ cenniki</t>
  </si>
  <si>
    <t>wynagrodzenie trenera</t>
  </si>
  <si>
    <t xml:space="preserve">a) wydatek kwalifikowalny, o ile jest to uzasadnione specyfiką realizowanego projektu
b) wydatek kwalifikowalny, o ile trener posiada wykształcenie wyższe/zawodowe lub certyfikaty/zaświadczenia/inne umożliwiające przeprowadzenie danego wsparcia (do szczegółowego określenia przez IP w standardzie)
c) - wydatek kwalifikowalny, o ile trener posiada doświadczenie umożliwiające przeprowadzenie danego wsparcia, przy czym minimalne doświadczenie zawodowe w danej dziedzinie nie powinno być krótsze niż 2 lata (do szczegółowego określenia przez IP w standardzie) </t>
  </si>
  <si>
    <r>
      <rPr>
        <b/>
        <sz val="10"/>
        <color theme="1"/>
        <rFont val="Arial"/>
        <family val="2"/>
        <charset val="238"/>
      </rPr>
      <t xml:space="preserve">250 – 400 PLN </t>
    </r>
    <r>
      <rPr>
        <sz val="10"/>
        <color theme="1"/>
        <rFont val="Arial"/>
        <family val="2"/>
        <charset val="238"/>
      </rPr>
      <t>za godzinę szkolenia</t>
    </r>
  </si>
  <si>
    <t>2.17 POWER</t>
  </si>
  <si>
    <t xml:space="preserve">wynagrodzenie doradcy zawodowego  </t>
  </si>
  <si>
    <t xml:space="preserve">a) wydatek kwalifikowalny, o ile jest to uzasadnione specyfiką realizowanego projektu
b) - wydatek kwalifikowalny, o ile doradca zawodowy posiada wykształcenie wyższe/zawodowe lub certyfikaty/zaświadczenia/inne umożliwiające prowadzenie doradztwa zawodowego
c) - wydatek kwalifikowalny, o ile doradca zawodowy posiada doświadczenie umożliwiające prowadzenie doradztwa zawodowego, przy czym minimalne doświadczenie zawodowe w danej dziedzinie nie powinno być krótsze niż 2 lata </t>
  </si>
  <si>
    <r>
      <rPr>
        <b/>
        <sz val="10"/>
        <color theme="1"/>
        <rFont val="Arial"/>
        <family val="2"/>
        <charset val="238"/>
      </rPr>
      <t>100 zł /</t>
    </r>
    <r>
      <rPr>
        <sz val="10"/>
        <color theme="1"/>
        <rFont val="Arial"/>
        <family val="2"/>
        <charset val="238"/>
      </rPr>
      <t xml:space="preserve"> godz.</t>
    </r>
  </si>
  <si>
    <t xml:space="preserve">1.2.1 POWER </t>
  </si>
  <si>
    <t>wynagrodzenie psychologa</t>
  </si>
  <si>
    <t>a) wydatek kwalifikowalny, o ile jest to uzasadnione specyfiką realizowanego projektu
b) - wydatek kwalifikowalny, o ile psycholog posiada wykształcenie wyższe/zawodowe lub certyfikaty/zaświadczenia/inne umożliwiające przeprowadzenie danego wsparcia (do szczegółowego określenia przez IP w standardzie)
c) - wydatek kwalifikowalny, o ile psycholog posiada doświadczenie umożliwiające przeprowadzenie usługi psychologicznej, przy czym minimalne doświadczenie zawodowe w danej dziedzinie nie powinno być krótsze niż 2 lata (do szczegółowego określenia przez IP w standardzie)</t>
  </si>
  <si>
    <r>
      <rPr>
        <b/>
        <sz val="10"/>
        <color theme="1"/>
        <rFont val="Arial"/>
        <family val="2"/>
        <charset val="238"/>
      </rPr>
      <t>100</t>
    </r>
    <r>
      <rPr>
        <sz val="11"/>
        <color theme="1"/>
        <rFont val="Calibri"/>
        <family val="2"/>
        <scheme val="minor"/>
      </rPr>
      <t xml:space="preserve"> zł /</t>
    </r>
    <r>
      <rPr>
        <sz val="10"/>
        <color theme="1"/>
        <rFont val="Arial"/>
        <family val="2"/>
        <charset val="238"/>
      </rPr>
      <t xml:space="preserve"> godz.</t>
    </r>
  </si>
  <si>
    <t>cennik EFS psycholog</t>
  </si>
  <si>
    <t>wynajem sal szkoleniowych</t>
  </si>
  <si>
    <t>a)wydatek kwalifikowalny, o ile jest to uzasadnione specyfiką realizowanego projektu
b) obejmuje koszt wynajmu sali wyposażonej, zgodnie z potrzebami projektu, m.in. w stoły, krzesła, rzutnik multimedialny z ekranem, komputer, tablice flipchart lub tablice suchościeralne, bezprzewodowy dostęp do Internetu oraz koszty utrzymania sali, w tym energii elektrycznej 
c) wydatek kwalifikowalny, o ile sala oraz budynek, w którym się ona znajduje, zapewnia dostęp dla osób z niepełnosprawnością ruchową (tj. dostosowanie architektoniczne), przy czym obowiązek ten nie dotyczy udostępniania sal szkoleniowych jako wkład własny w projekcie</t>
  </si>
  <si>
    <r>
      <rPr>
        <b/>
        <sz val="10"/>
        <color theme="1"/>
        <rFont val="Arial"/>
        <family val="2"/>
        <charset val="238"/>
      </rPr>
      <t>75 PLN/</t>
    </r>
    <r>
      <rPr>
        <sz val="10"/>
        <color theme="1"/>
        <rFont val="Arial"/>
        <family val="2"/>
        <charset val="238"/>
      </rPr>
      <t xml:space="preserve"> za godzinę zegarową szkolenia</t>
    </r>
  </si>
  <si>
    <t>a) cena dotyczy też wynajmu sali na różnego typu grupowe spotkania merytoryczne, o ile ich realizacja jest niezbędna i wynika z celu realizacji projektu, zaś cena powinna być niższa, jeśli koszt nie obejmuje wyposażenia określonego jak dla wynajmu sali szkoleniowej
b) cena obejmuje wynajem krótkoterminowy (w przypadku wynajmu sal szkoleniowych na okres dłuższy niż 80 godzin zegarowych cena powinna być niższa) 
c)  cena nie dotyczy wynajmu sal wyposażonych w sprzęt specjalistyczny umożliwiający udział w szkoleniach osób z innymi rodzajami niepełnosprawności niż niepełnosprawność ruchowa (np. sala z pętlą indukcyjną)
d) cena dotyczy wynajmu sali do 40 osób</t>
  </si>
  <si>
    <t>5</t>
  </si>
  <si>
    <t>wynajem sali na spotkania indywidualne</t>
  </si>
  <si>
    <t>a) wydatek kwalifikowalny, o ile jest to uzasadnione specyfiką realizowanego projektu oraz potrzebami grupy docelowej
b) - obejmuje koszt wynajmu sali wyposażonej, zgodnie z potrzebami projektu, m.in. w stoły, krzesła, tablice flipchart lub tablice suchościeralne, bezprzewodowy dostęp do Internetu oraz koszty utrzymania sali, w tym energii elektrycznej 
c) - wydatek kwalifikowalny, o ile sala oraz budynek, w którym się ona znajduje, zapewnia dostęp dla osób z niepełnosprawnością ruchową (tj. dostosowanie architektoniczne), przy czym obowiązek ten nie dotyczy udostępniania sal na spotkania indywidualne jako wkład własny w projekcie</t>
  </si>
  <si>
    <r>
      <rPr>
        <b/>
        <sz val="10"/>
        <color theme="1"/>
        <rFont val="Arial"/>
        <family val="2"/>
        <charset val="238"/>
      </rPr>
      <t>40 PLN</t>
    </r>
    <r>
      <rPr>
        <sz val="10"/>
        <color theme="1"/>
        <rFont val="Arial"/>
        <family val="2"/>
        <charset val="238"/>
      </rPr>
      <t>/ za godzinę zegarową spotkania</t>
    </r>
  </si>
  <si>
    <t>a) cena obejmuje wynajem krótkoterminowy (w przypadku wynajmu sal na okres dłuższy niż 80 godzin zegarowych cena powinna być niższa) 
b) - cena nie dotyczy wynajmu sal wyposażonych w sprzęt specjalistyczny umożliwiający udział we wsparciu osób z innymi rodzajami niepełnosprawności niż niepełnosprawność ruchowa (np. sala z pętlą indukcyjną)
c) cena dotyczy wynajmu sali do 10 osób</t>
  </si>
  <si>
    <t>6</t>
  </si>
  <si>
    <t>wynajem sali komputerowej</t>
  </si>
  <si>
    <t>a) wydatek kwalifikowalny, o ile jest to uzasadnione specyfiką realizowanego projektu
b) obejmuje koszt wynajmu sali wyposażonej, zgodnie z potrzebami projektu, m.in. w stoły, krzesła, rzutnik multimedialny z ekranem, min. 12 stanowisk komputerowych, tablice flipchart lub tablice suchościeralne, bezprzewodowy dostęp do Internetu oraz koszty utrzymania sali, w tym energii elektrycznej  
c) wydatek kwalifikowalny, o ile sala oraz budynek, w którym się ona znajduje, zapewnia dostęp dla osób z niepełnosprawnością ruchową (tj. dostosowanie architektoniczne), przy czym obowiązek ten nie dotyczy udostępniania sal jako wkład własny w projekcie</t>
  </si>
  <si>
    <r>
      <rPr>
        <b/>
        <sz val="10"/>
        <color theme="1"/>
        <rFont val="Arial"/>
        <family val="2"/>
        <charset val="238"/>
      </rPr>
      <t>70 PLN</t>
    </r>
    <r>
      <rPr>
        <sz val="10"/>
        <color theme="1"/>
        <rFont val="Arial"/>
        <family val="2"/>
        <charset val="238"/>
      </rPr>
      <t>/ za godzinę zegarową szkolenia</t>
    </r>
  </si>
  <si>
    <t>a) cena dotyczy wynajmu sali na szkolenia specjalistyczne wymagające określonego typu sprzętu, min. 12 stanowisk komputerowych (cena powinna być niższa, jeśli koszt obejmuje mniejszą liczbę stanowisk komputerowych)
b) cena obejmuje wynajem krótkoterminowy (w przypadku wynajmu sal na okres dłuższy niż 80 godzin zegarowych cena powinna być niższa)
c) cena nie dotyczy wynajmu sal wyposażonych w sprzęt specjalistyczny umożliwiający udział we wsparciu osób z innymi rodzajami niepełnosprawności niż niepełnosprawność ruchowa (np. sala z pętlą indukcyjną)</t>
  </si>
  <si>
    <t>7</t>
  </si>
  <si>
    <t>zakup materiałów biurowych dla uczestników szkolenia</t>
  </si>
  <si>
    <t>a) wydatek kwalifikowalny, o ile jest to uzasadnione specyfiką realizowanego projektu
b) wydatek kwalifikowalny, o ile przewidziane są w ramach realizowanego projektu szkolenia/warsztaty/doradztwo
c) obejmuje zestaw składający się z teczki, notesu, długopisu lub zestawu z dodatkowym pendrive, co dotyczy tylko dużej ilości materiałów szkoleniowych nagrywanych na pendrive, zamiast wydruku tych materiałów</t>
  </si>
  <si>
    <r>
      <rPr>
        <b/>
        <sz val="10"/>
        <color theme="1"/>
        <rFont val="Arial"/>
        <family val="2"/>
        <charset val="238"/>
      </rPr>
      <t>9 PLN</t>
    </r>
    <r>
      <rPr>
        <sz val="10"/>
        <color theme="1"/>
        <rFont val="Arial"/>
        <family val="2"/>
        <charset val="238"/>
      </rPr>
      <t xml:space="preserve">/zestaw bez pendrive lub
</t>
    </r>
    <r>
      <rPr>
        <b/>
        <sz val="10"/>
        <color theme="1"/>
        <rFont val="Arial"/>
        <family val="2"/>
        <charset val="238"/>
      </rPr>
      <t>24 PLN</t>
    </r>
    <r>
      <rPr>
        <sz val="10"/>
        <color theme="1"/>
        <rFont val="Arial"/>
        <family val="2"/>
        <charset val="238"/>
      </rPr>
      <t>/zestaw z pendrivem</t>
    </r>
  </si>
  <si>
    <t>a) cena rynkowa powinna być uzależniona od  rodzaju oferowanej usługi i jest niższa, jeśli finansowany jest mniejszy zakres usługi (np. notes i długopis)
b) - cena nie obejmuje kosztu logotypów (objęte są kosztami pośrednimi)</t>
  </si>
  <si>
    <t>przerwa kawowa</t>
  </si>
  <si>
    <t>a) wydatek kwalifikowalny, o ile jest to uzasadnione specyfiką realizowanego projektu
b) wydatek kwalifikowalny, o ile forma wsparcia, w ramach której ma być świadczona przerwa kawowa dotyczy tej samej grupy osób i nie jest przewidziany zimny bufet
c) obejmuje kawę, herbatę, wodę, mleko, cukier, cytryna,  drobne słone lub słodkie przekąski typu paluszki lub kruche ciastka lub owoce, przy czym istnieje możliwość szerszego zakresu usługi, o ile mieści się w określonej cenie rynkowej</t>
  </si>
  <si>
    <r>
      <rPr>
        <b/>
        <sz val="10"/>
        <color theme="1"/>
        <rFont val="Arial"/>
        <family val="2"/>
        <charset val="238"/>
      </rPr>
      <t>15 PLN</t>
    </r>
    <r>
      <rPr>
        <sz val="10"/>
        <color theme="1"/>
        <rFont val="Arial"/>
        <family val="2"/>
        <charset val="238"/>
      </rPr>
      <t>/osobę/dzień szkoleniowy</t>
    </r>
  </si>
  <si>
    <t>a) cena rynkowa powinna być uzależniona od  rodzaju oferowanej usługi i jest niższa, jeśli finansowany jest mniejszy zakres usługi (np. kawa, herbata, woda, mleko, cukier, cytryna bez drobnych słonych lub słodkich przekąsek)
b) W przypadku, gdy wsparcie dla tej samej grupy osób w danym dniu trwa powyżej 6 godzin lekcyjnych (tj. 6 x 45 minut) istnieje możliwość zapewnienia drugiej przerwy kawowej (dotyczy to również przypadku, gdy przewidziany jest zimny bufet).</t>
  </si>
  <si>
    <t>9</t>
  </si>
  <si>
    <t>zimny bufet</t>
  </si>
  <si>
    <t>a) wydatek kwalifikowalny, o ile jest to uzasadnione specyfiką realizowanego projektu
b) - wydatek kwalifikowalny, o ile forma wsparcia, w ramach której ma być świadczony zimny bufet dla tej samej grupy osób w danym dniu trwa co najmniej 4 godziny lekcyjne (tj. 4 x 45 minut) i nie jest przewidziany lunch/obiad 
c) - obejmuje kawę, herbatę, wodę, soki, mleko, cukier, cytryna,  drobne słone lub słodkie przekąski typu paluszki lub kruche ciastka lub owoce, kanapki, przekąski koktajlowe, przy czym istnieje możliwość szerszego zakresu usługi, o ile mieści się w określonej cenie rynkowej.</t>
  </si>
  <si>
    <r>
      <rPr>
        <b/>
        <sz val="10"/>
        <color theme="1"/>
        <rFont val="Arial"/>
        <family val="2"/>
        <charset val="238"/>
      </rPr>
      <t>25 PLN</t>
    </r>
    <r>
      <rPr>
        <sz val="10"/>
        <color theme="1"/>
        <rFont val="Arial"/>
        <family val="2"/>
        <charset val="238"/>
      </rPr>
      <t>/osobę/dzień szkoleniowy</t>
    </r>
  </si>
  <si>
    <t>a) cena rynkowa powinna być uzależniona od  rodzaju oferowanej usługi i jest niższa, jeśli finansowany jest mniejszy zakres usługi</t>
  </si>
  <si>
    <t>10</t>
  </si>
  <si>
    <t>lunch/ obiad/ kolacja</t>
  </si>
  <si>
    <t>a) wydatek kwalifikowalny, o ile jest to uzasadnione specyfiką realizowanego projektu
b) obejmuje dwa dania (zupa i drugie danie) oraz napój, przy czym istnieje możliwość szerszego zakresu usługi, o ile mieści się w określonej cenie rynkowej
c)w przypadku lunch/ obiadu wydatek kwalifikowalny, o ile wsparcie dla tej samej grupy osób w danym dniu trwa co najmniej 6 godzin lekcyjnych (tj. 6 x 45 minut) i nie jest przewidziany zimny bufet
d) w przypadku kolacji wydatek kwalifikowalny, o ile finansowana jest usługa noclegowa</t>
  </si>
  <si>
    <r>
      <rPr>
        <b/>
        <sz val="10"/>
        <color theme="1"/>
        <rFont val="Arial"/>
        <family val="2"/>
        <charset val="238"/>
      </rPr>
      <t>44 PLN</t>
    </r>
    <r>
      <rPr>
        <sz val="10"/>
        <color theme="1"/>
        <rFont val="Arial"/>
        <family val="2"/>
        <charset val="238"/>
      </rPr>
      <t>/osobę/ posiłek</t>
    </r>
  </si>
  <si>
    <t>a) cena rynkowa powinna być uzależniona od  rodzaju oferowanej usługi i jest niższa, jeśli finansowany jest mniejszy zakres usługi (np. obiad składający się tylko z drugiego dania i napoju)</t>
  </si>
  <si>
    <t>11</t>
  </si>
  <si>
    <t>nocleg w kraju</t>
  </si>
  <si>
    <t>a) wydatek kwalifikowalny, o ile jest to uzasadnione specyfiką realizowanego projektu
b) możliwość zagwarantowania noclegu dotyczy uczestników, którzy posiadają miejsce zamieszkania w miejscowości innej niż ta miejscowość, w której odbywa się szkolenie
c) wydatek kwalifikowalny, o ile wsparcie (np. szkolenie, spotkanie) dla tej samej grupy osób trwa co najmniej dwa dni
d) w przypadku wsparcia trwającego nie dłużej niż jeden dzień wydatek kwalifikowalny w sytuacji, gdy miejsce prowadzenia szkolenia/spotkania jest oddalone od miejsca zamieszkania osoby w nim uczestniczącej o więcej niż 50 km (drogą publiczną, a nie w linii prostej), a jednocześnie wsparcie zaczyna się nie później niż o godzinie 9.00 lub kończy się po godzinie 17.00, chyba że nie ma dostępnego dojazdu publicznymi środkami transportu
e) obejmuje nocleg w miejscu noclegowym o standardzie maksymalnie hotelu 3* wraz ze śniadaniem, przy czym istnieje możliwość szerszego zakresu usługi, o ile mieści się w określonej cenie rynkowej i jest to uzasadnione celami projektu</t>
  </si>
  <si>
    <r>
      <t xml:space="preserve">hotel o maksymalnym standardzie 3*:
- </t>
    </r>
    <r>
      <rPr>
        <b/>
        <sz val="10"/>
        <color theme="1"/>
        <rFont val="Arial"/>
        <family val="2"/>
        <charset val="238"/>
      </rPr>
      <t>240 PLN</t>
    </r>
    <r>
      <rPr>
        <sz val="10"/>
        <color theme="1"/>
        <rFont val="Arial"/>
        <family val="2"/>
        <charset val="238"/>
      </rPr>
      <t xml:space="preserve">/1 nocleg / 1 osoba
hotel o niższym standardzie niż 3* oraz pensjonat, motel itd.:
- </t>
    </r>
    <r>
      <rPr>
        <b/>
        <sz val="10"/>
        <color theme="1"/>
        <rFont val="Arial"/>
        <family val="2"/>
        <charset val="238"/>
      </rPr>
      <t>130 PLN</t>
    </r>
    <r>
      <rPr>
        <sz val="10"/>
        <color theme="1"/>
        <rFont val="Arial"/>
        <family val="2"/>
        <charset val="238"/>
      </rPr>
      <t>/1 nocleg / 1 osoba</t>
    </r>
  </si>
  <si>
    <t>a) cena rynkowa powinna być uzależniona od  rodzaju oferowanej usługi i jest niższa, jeśli finansowany jest mniejszy zakres usługi (np. nocleg w pokoju wieloosobowym, tj. 3-osobowym lub większym)
b) Nie dotyczy noclegów rozliczanych w ramach kosztów delegacji; w takim przypadku koszty przysługujące z tytułu podróży służbowych powinny być zgodne z rozporządzeniem Ministra Pracy i Polityki Społecznej z dnia 29 stycznia 2013 r. w sprawie należności przysługujących pracownikowi zatrudnionemu w państwowej lub samorządowej jednostce sfery budżetowej z tytułu podróży służbowe.</t>
  </si>
  <si>
    <t>12</t>
  </si>
  <si>
    <t xml:space="preserve">zwrot kosztów dojazdu </t>
  </si>
  <si>
    <t xml:space="preserve">a) wydatek kwalifikowalny w związku z uzasadnionymi potrzebami grupy docelowej (np. koszty dojazdów dla osób niepełnosprawnych, bezrobotnych)
b) wydatek kwalifikowalny do wysokości opłat za środki transportu publicznego szynowego lub kołowego (a w przypadku podróży międzynarodowych także transportu lotniczego) zgodnie z cennikiem biletów II klasy obowiązującym na danym obszarze, także w przypadku korzystania ze środków transportu prywatnego (w szczególności samochodem lub taksówką) jako refundacja wydatku faktycznie poniesionego do ww. wysokości </t>
  </si>
  <si>
    <t>cena uzależniona od cenników operatorów komunikacji publicznej</t>
  </si>
  <si>
    <t>Dotyczy przypadku, gdy zwrot kosztów dojazdu w projekcie jest rozliczany na podstawie faktycznie ponoszonych wydatków. Nie dotyczy kosztów dojazdu rozliczanych w ramach kosztów delegacji; w takim przypadku koszty przysługujące z tytułu podróży służbowych powinny być zgodne z rozporządzeniem Ministra Pracy i Polityki Społecznej z dnia 29 stycznia 2013 r. w sprawie należności przysługujących pracownikowi zatrudnionemu w państwowej lub samorządowej jednostce sfery budżetowej z tytułu podróży służbowe.</t>
  </si>
  <si>
    <t>Przeprowadzenie testów - wynagrodzenie specjalisty testera</t>
  </si>
  <si>
    <r>
      <rPr>
        <b/>
        <sz val="10"/>
        <color theme="1"/>
        <rFont val="Arial"/>
        <family val="2"/>
        <charset val="238"/>
      </rPr>
      <t>6 380 - 11 851,73 / m-c</t>
    </r>
    <r>
      <rPr>
        <sz val="10"/>
        <color theme="1"/>
        <rFont val="Arial"/>
        <family val="2"/>
        <charset val="238"/>
      </rPr>
      <t xml:space="preserve"> 
(39,88 zł/godz. -  74,00 zł/ godz.)</t>
    </r>
  </si>
  <si>
    <r>
      <t xml:space="preserve">https://zarobki.pracuj.pl/stanowiska/it-rozwoj-oprogramowania/tester-oprogramowania-ekspert
https://wynagrodzenia.pl/moja-placa/ile-zarabia-tester-oprogramowania
https://www.aplikuj.pl/porady-dla-pracownikow/2214/tester-oprogramowania-zarobki
</t>
    </r>
    <r>
      <rPr>
        <sz val="10"/>
        <color theme="1"/>
        <rFont val="Arial"/>
        <family val="2"/>
        <charset val="238"/>
      </rPr>
      <t>https://testerzy.pl/baza-wiedzy/analiza-zarobkow-testerow-2019-czesc-ii (tester charakterystyk 8446,43 netto, tj. ok. 11 851,73 brutto/ 160 godz.)</t>
    </r>
  </si>
  <si>
    <t>Przygotowanie scenariusza zajęć/ programu szkoleniowego</t>
  </si>
  <si>
    <r>
      <rPr>
        <b/>
        <sz val="10"/>
        <color theme="1"/>
        <rFont val="Arial"/>
        <family val="2"/>
        <charset val="238"/>
      </rPr>
      <t>143,13 zł/ godz.</t>
    </r>
    <r>
      <rPr>
        <sz val="10"/>
        <color theme="1"/>
        <rFont val="Arial"/>
        <family val="2"/>
        <charset val="238"/>
      </rPr>
      <t xml:space="preserve"> lub </t>
    </r>
    <r>
      <rPr>
        <b/>
        <sz val="10"/>
        <color theme="1"/>
        <rFont val="Arial"/>
        <family val="2"/>
        <charset val="238"/>
      </rPr>
      <t xml:space="preserve">92,27 za 1 str. </t>
    </r>
    <r>
      <rPr>
        <sz val="10"/>
        <color theme="1"/>
        <rFont val="Arial"/>
        <family val="2"/>
        <charset val="238"/>
      </rPr>
      <t>Scenariusza</t>
    </r>
  </si>
  <si>
    <t>https://efs.men.gov.pl/wp-content/uploads/2019/12/Zalacznik_nr_10_zestawienie_cen_i_standardow_szkola_cwiczen_wersja_3.pdf</t>
  </si>
  <si>
    <t>Opracowanie podręcznika/ skryptu/ materialów dydaktycznych/ wsadu merytorycznego</t>
  </si>
  <si>
    <r>
      <rPr>
        <b/>
        <sz val="10"/>
        <color theme="1"/>
        <rFont val="Arial"/>
        <family val="2"/>
        <charset val="238"/>
      </rPr>
      <t>1000 zł /40 str.</t>
    </r>
    <r>
      <rPr>
        <sz val="10"/>
        <color theme="1"/>
        <rFont val="Arial"/>
        <family val="2"/>
        <charset val="238"/>
      </rPr>
      <t xml:space="preserve"> lub </t>
    </r>
    <r>
      <rPr>
        <b/>
        <sz val="10"/>
        <color theme="1"/>
        <rFont val="Arial"/>
        <family val="2"/>
        <charset val="238"/>
      </rPr>
      <t>80 zł/ godz.</t>
    </r>
  </si>
  <si>
    <t>https://innowacje.spoldzielnie.org/wp-content/uploads/2020/04/Wykaz-%C5%9Brednich-rekomendowanych-stawek.pdf
lub stawka z projektu POWR.03.05.00-00-Z303/17 w ramach naboru POWR.03.05.00-IP.08-00-PZ3/17</t>
  </si>
  <si>
    <t>Budowa platformy internetowej</t>
  </si>
  <si>
    <t xml:space="preserve">4046,70 - 6150 zł </t>
  </si>
  <si>
    <t>https://soluma.pl/cenniki/cennik-tworzenia-stron-www
https://www.grupa-tense.pl/blog/ile-kosztuje-strona-internetowa-cennik/
https://echomarketing.pl/ile-kosztuje-strona-internetowa-cena-utworzenia-stron-www/</t>
  </si>
  <si>
    <t>Utrzymanie serwera</t>
  </si>
  <si>
    <t>167,40 - 492 zł /rok</t>
  </si>
  <si>
    <t xml:space="preserve">https://www.nazwa.pl/cennik/cennik-cloudhosting/
https://www.ehost.pl/hosting_cennik.php
https://zenbox.pl/cennik/
</t>
  </si>
  <si>
    <t xml:space="preserve">Administrowanie platformą inernetową </t>
  </si>
  <si>
    <t>209,10 - 490,77  /m-c</t>
  </si>
  <si>
    <t>https://thenewlook.pl/administracja-strony-internetowej-cennik/
https://prodesigner.pl/administracja-strony-internetowej-cennik/
https://www.elkomtel.pl/cennik-administracji-stronami-internetowymi</t>
  </si>
  <si>
    <t>Stworzenie programu/aplikacji - wynagrodzenie programisty</t>
  </si>
  <si>
    <r>
      <t xml:space="preserve">
</t>
    </r>
    <r>
      <rPr>
        <b/>
        <sz val="10"/>
        <color theme="1"/>
        <rFont val="Arial"/>
        <family val="2"/>
        <charset val="238"/>
      </rPr>
      <t xml:space="preserve">7 780 - 12 000 / m-c
</t>
    </r>
    <r>
      <rPr>
        <b/>
        <sz val="10"/>
        <color rgb="FF00B050"/>
        <rFont val="Arial"/>
        <family val="2"/>
        <charset val="238"/>
      </rPr>
      <t>śr. Z szacowania (130+100+190+200)/4=155 zł/h netto tj. 190 zł brutto</t>
    </r>
    <r>
      <rPr>
        <b/>
        <sz val="10"/>
        <color theme="1"/>
        <rFont val="Arial"/>
        <family val="2"/>
        <charset val="238"/>
      </rPr>
      <t xml:space="preserve">
</t>
    </r>
    <r>
      <rPr>
        <sz val="10"/>
        <color theme="1"/>
        <rFont val="Arial"/>
        <family val="2"/>
        <charset val="238"/>
      </rPr>
      <t xml:space="preserve">
(46,25 - 75 zł/ godz.na podstawie wynagrodzenia miesięcznego)</t>
    </r>
  </si>
  <si>
    <t xml:space="preserve">
120-140 zł netto/ godz.
80 - 120 zł netto/ godz.
130 do 250 zł/h netto/ godz.
150-250 zł netto / godz.
https://zarobki.pracuj.pl/raporty-i-trendy-placowe/ile-zarabia-programista-komputerowy/
https://wynagrodzenia.pl/moja-placa/ile-zarabia-programista-stanowisko-ogolne
https://codecool.com/pl/wiedza/ile-zarabia-programista/</t>
  </si>
  <si>
    <t>Wynagrodzenie grafika komputerowego</t>
  </si>
  <si>
    <r>
      <rPr>
        <b/>
        <sz val="10"/>
        <color theme="1"/>
        <rFont val="Arial"/>
        <family val="2"/>
        <charset val="238"/>
      </rPr>
      <t xml:space="preserve">4 510 - 6 200 / m-c
</t>
    </r>
    <r>
      <rPr>
        <b/>
        <sz val="10"/>
        <color rgb="FF00B050"/>
        <rFont val="Arial"/>
        <family val="2"/>
        <charset val="238"/>
      </rPr>
      <t>śr. Z szacowania (49+50+100)/3=66,33 zł/h netto tj. 82 zł brutto</t>
    </r>
    <r>
      <rPr>
        <sz val="10"/>
        <color theme="1"/>
        <rFont val="Arial"/>
        <family val="2"/>
        <charset val="238"/>
      </rPr>
      <t xml:space="preserve">
(28,19 - 38,75 zł/ godz.na podstawie wynagrodzenia miesięcznego)</t>
    </r>
  </si>
  <si>
    <t>29 – 69 zł/ godz.
40 - 60 zł netto/ godz.
123 zł brutto/ godz.
https://wynagrodzenia.pl/moja-placa/ile-zarabia-grafik-komputerowy
https://zarobki.pracuj.pl/raporty-i-trendy-placowe/zarobki-grafika-komputerowego/ (specjalista DTP)
https://praca.olx.pl/pracownik/kalkulatory/analiza-wynagrodzen</t>
  </si>
  <si>
    <t>Wynagrodzenie projektanta/ designera</t>
  </si>
  <si>
    <r>
      <rPr>
        <b/>
        <sz val="10"/>
        <color theme="1"/>
        <rFont val="Arial"/>
        <family val="2"/>
        <charset val="238"/>
      </rPr>
      <t xml:space="preserve">6 100 - 9 944 zł m-c
</t>
    </r>
    <r>
      <rPr>
        <b/>
        <sz val="10"/>
        <color rgb="FF00B050"/>
        <rFont val="Arial"/>
        <family val="2"/>
        <charset val="238"/>
      </rPr>
      <t>śr. z szacowania (150+50+350+60)/4=152,50 zł/h netto tj. 187,50 zł brutto</t>
    </r>
    <r>
      <rPr>
        <sz val="10"/>
        <color theme="1"/>
        <rFont val="Arial"/>
        <family val="2"/>
        <charset val="238"/>
      </rPr>
      <t xml:space="preserve">
(27,46 - 62,15 zł/ godz.na podstawie wynagrodzenia miesięcznego)</t>
    </r>
  </si>
  <si>
    <t>50 - 250 zł netto/ godz.
50 netto/ godz.
300 - 400 zł netto/ godz.
60 zł netto/ godz.
https://wynagrodzenia.pl/moja-placa/ile-zarabia-ui-ux-designer
https://zarobki.pracuj.pl/stanowiska/inzynieria/projektant-inzynieria
 (projektant grafiki)
https://www.pulshr.pl/wynagrodzenia/ile-zarabiaja-inzynierowie-projektanci-i-konstruktorzy,25467.html</t>
  </si>
  <si>
    <t xml:space="preserve">Opracowanie raportu/ analiza danych/ ewaluacja </t>
  </si>
  <si>
    <t>300 - 575 zł</t>
  </si>
  <si>
    <t>https://www.biostat.com.pl/analiza-danych-cennik.php
http://statystyka-ankieta.pl/cennik#
https://pogotowiestatystyczne.pl/ceny/</t>
  </si>
  <si>
    <t>Wydruk materiałów/ podręczników</t>
  </si>
  <si>
    <r>
      <rPr>
        <b/>
        <sz val="10"/>
        <color theme="1"/>
        <rFont val="Arial"/>
        <family val="2"/>
        <charset val="238"/>
      </rPr>
      <t>30 zł - 74 zł</t>
    </r>
    <r>
      <rPr>
        <sz val="10"/>
        <color theme="1"/>
        <rFont val="Arial"/>
        <family val="2"/>
        <charset val="238"/>
      </rPr>
      <t xml:space="preserve"> (100 str.)</t>
    </r>
  </si>
  <si>
    <t>http://taniekserowanie.pl/?gclid=Cj0KCQiAhP2BBhDdARIsAJEzXlGOloLo-UCeVm5ShLmTaMMaqqFOfjYjPbYARYBxuLtNpXajV18UUdUaAmh3EALw_wcB
https://wydrukujemy.to/druk/druk-dokumentow/
http://www.drukomatic.pl/booksCalc.asp?gclid=Cj0KCQiAhP2BBhDdARIsAJEzXlEZNIEDGJaac2g7ZNESL-ZRxmUB8FvvzaXwhAEE3lF-iyrtBjx-eT8aAtp6EALw_wcB (screen na ftp po wyborze odpowiednich opcji wyszło przy nakladzie 5 szt. 62,51 za szt.)</t>
  </si>
  <si>
    <t>Nagranie filmów</t>
  </si>
  <si>
    <t>1500 - 5535 zł</t>
  </si>
  <si>
    <t>https://www.reklamowy-film.pl/ceny-cennik-filmow-reklamowych-produkcji-filmowej-clipy-reklamowe-spoty-promocyjne.html
https://eventmovie.pl/cennik/
https://semastudio.pl/cennik-filmow/ (przy średniej cenie brutto Basic)</t>
  </si>
  <si>
    <t>Laptop/ komputer</t>
  </si>
  <si>
    <t>wydatek kwalifikowalny, o ile laptop posiada parametry biurowe z oprogramowaniem systemowym i podstawowym pakietem biurowym (licencja na 12 miesięcy)</t>
  </si>
  <si>
    <t>2500 - 3499 zł</t>
  </si>
  <si>
    <t>https://semastudio.pl/cennik-filmow/
https://www.komputronik.pl/product/692948/asus-vivobook-15-x509ja-bq241t-szary.html
https://www.euro.com.pl/komputery-stacjonarne-pc/lenovo-komputer-lenovo-r5-16gb-512-16506gb-w10.bhtml
https://www.funduszeeuropejskie.gov.pl/media/98256/Zal_3_.pdf (taryfikator 4.1 POWER 2021  - 2500 za laptop)</t>
  </si>
  <si>
    <t>Marketing/ copywriting</t>
  </si>
  <si>
    <r>
      <rPr>
        <b/>
        <sz val="10"/>
        <color theme="1"/>
        <rFont val="Arial"/>
        <family val="2"/>
        <charset val="238"/>
      </rPr>
      <t xml:space="preserve">4000 zł - 6 040 zł /m-c
</t>
    </r>
    <r>
      <rPr>
        <b/>
        <sz val="10"/>
        <color rgb="FF00B050"/>
        <rFont val="Arial"/>
        <family val="2"/>
        <charset val="238"/>
      </rPr>
      <t>śr. Z szacowania: (250+150+160+150+250)/5=192 zł netto, tj. 236,16 brutto</t>
    </r>
    <r>
      <rPr>
        <b/>
        <sz val="10"/>
        <color theme="1"/>
        <rFont val="Arial"/>
        <family val="2"/>
        <charset val="238"/>
      </rPr>
      <t xml:space="preserve">
</t>
    </r>
    <r>
      <rPr>
        <sz val="10"/>
        <color theme="1"/>
        <rFont val="Arial"/>
        <family val="2"/>
        <charset val="238"/>
      </rPr>
      <t>(25 zł - 37,75 godz. na podstawie wynagrodzenia miesięcznego)</t>
    </r>
  </si>
  <si>
    <t>200-300 zł netto/ godz.
Copywriter: 150zł / godz.
Art. Director: 160zł / godz.
Account Manager: 150 zł/ godz.
Startegy Direcotr – 250zł / godz.
https://wynagrodzenia.pl/moja-placa/ile-zarabia-copywriter
https://www.zawody.pl/ile-zarabia-marketingowiec/ (wynagrodzenie specjalisty ds. Marketingu)
https://zarobki.pracuj.pl/stanowiska/reklama-grafika-kreacja-fotografia/copywriter</t>
  </si>
  <si>
    <t>Nabycie projektora multimedialnego</t>
  </si>
  <si>
    <t>https://www.funduszeeuropejskie.gov.pl/media/98256/Zal_3_.pdf (taryfikator 4.1 POWER 2021)</t>
  </si>
  <si>
    <t>Nabycie ekranu projekcyjnego</t>
  </si>
  <si>
    <t>Nabycie urządzenia wielofunkcyjnego</t>
  </si>
  <si>
    <t>szt.</t>
  </si>
  <si>
    <t>Test  Test  1</t>
  </si>
  <si>
    <t>Test  Test  1.2</t>
  </si>
  <si>
    <t>Test  Test  1.3</t>
  </si>
  <si>
    <t>Test  Test  1.4</t>
  </si>
  <si>
    <t>Test  Test  1.5</t>
  </si>
  <si>
    <t>Test  Test  1.6</t>
  </si>
  <si>
    <t>Test  Test  1.7</t>
  </si>
  <si>
    <t>Test  Test  1.8</t>
  </si>
  <si>
    <t>Test  Test  1.9</t>
  </si>
  <si>
    <t>Test  Test  1.10</t>
  </si>
  <si>
    <t>Rezultaty cząstkowe etapu 1</t>
  </si>
  <si>
    <t>Źródło pomiaru</t>
  </si>
  <si>
    <t>Ryzyko w etapie 1</t>
  </si>
  <si>
    <t>Opis ryzyka</t>
  </si>
  <si>
    <t>Prawdopodobieńśtwo wystąpienia</t>
  </si>
  <si>
    <t>Metody minimalizacji</t>
  </si>
  <si>
    <t>Ryzyko</t>
  </si>
  <si>
    <t>Wysokie</t>
  </si>
  <si>
    <t>Umiarkowane</t>
  </si>
  <si>
    <t>Niskie</t>
  </si>
  <si>
    <t>Jednostka</t>
  </si>
  <si>
    <t>Ryzyko w etapie 2</t>
  </si>
  <si>
    <t>Rezultaty cząstkowe etapu 2</t>
  </si>
  <si>
    <t>Wskaźniki ilościowe</t>
  </si>
  <si>
    <t>Wskaźniki jakościowe</t>
  </si>
  <si>
    <t>Start (data):</t>
  </si>
  <si>
    <t>Koniec (data):</t>
  </si>
  <si>
    <t>RAZEM PROTOTYP 3:</t>
  </si>
  <si>
    <t>RAZEM ETAP 3:</t>
  </si>
  <si>
    <t>Ryzyko w etapie 3</t>
  </si>
  <si>
    <t>Rezultaty cząstkowe etapu 3</t>
  </si>
  <si>
    <t>OPIS PRODUKTU KOŃCOWEGO</t>
  </si>
  <si>
    <r>
      <t xml:space="preserve">OPIS REZULTATU
</t>
    </r>
    <r>
      <rPr>
        <sz val="11"/>
        <color theme="1"/>
        <rFont val="Calibri"/>
        <family val="2"/>
        <charset val="238"/>
        <scheme val="minor"/>
      </rPr>
      <t>Opis rezultatu końcowego powinien być możliwie szczegółowy tj. z czego będzie się składało rozwiązanie (wszystkie elementy fizyczne i niematerialne).</t>
    </r>
  </si>
  <si>
    <r>
      <t xml:space="preserve">WSKAŹNIKI ILOŚCIOWE
</t>
    </r>
    <r>
      <rPr>
        <sz val="11"/>
        <color theme="1"/>
        <rFont val="Calibri"/>
        <family val="2"/>
        <charset val="238"/>
        <scheme val="minor"/>
      </rPr>
      <t>(w tym opis sposobu pomiaru oraz  wykaz i opis źródeł na podstawie, których dokonany zostanie pomiar wskaźników)</t>
    </r>
  </si>
  <si>
    <r>
      <t xml:space="preserve">WSKAŹNIKI JAKOŚCIOWE
</t>
    </r>
    <r>
      <rPr>
        <sz val="11"/>
        <color theme="1"/>
        <rFont val="Calibri"/>
        <family val="2"/>
        <charset val="238"/>
        <scheme val="minor"/>
      </rPr>
      <t>(w tym opis sposobu pomiaru oraz  wykaz i opis źródeł na podstawie, których dokonany zostanie pomiar wskaźników)</t>
    </r>
  </si>
  <si>
    <r>
      <t xml:space="preserve">DOKUMENTACJA
</t>
    </r>
    <r>
      <rPr>
        <sz val="11"/>
        <color theme="1"/>
        <rFont val="Calibri"/>
        <family val="2"/>
        <charset val="238"/>
        <scheme val="minor"/>
      </rPr>
      <t xml:space="preserve">Opisz sposób w jaki przekażesz Innowację np. pliki, dokumenty, wydruki, etc. </t>
    </r>
  </si>
  <si>
    <t>Na podstawie tego punktu oceniane będzie kryterium dotyczące UNIKATOWOŚCI ROZWIĄZANIA.</t>
  </si>
  <si>
    <t>Zadanie P1.1</t>
  </si>
  <si>
    <t>Zadanie P1.2</t>
  </si>
  <si>
    <t>Zadanie P1.3</t>
  </si>
  <si>
    <t>Zadanie P1.4</t>
  </si>
  <si>
    <t>Zadanie P1.5</t>
  </si>
  <si>
    <t>Zadanie P1.6</t>
  </si>
  <si>
    <t>Zadanie P1.7</t>
  </si>
  <si>
    <t>Zadanie P1.8</t>
  </si>
  <si>
    <t>Zadanie P1.9</t>
  </si>
  <si>
    <t>Zadanie P1.10</t>
  </si>
  <si>
    <t>Zadanie T1.1</t>
  </si>
  <si>
    <t>Zadanie T1.2</t>
  </si>
  <si>
    <t>Zadanie T1.3</t>
  </si>
  <si>
    <t>Zadanie T1.4</t>
  </si>
  <si>
    <t>Zadanie T1.5</t>
  </si>
  <si>
    <t>Zadanie T1.6</t>
  </si>
  <si>
    <t>Zadanie T1.7</t>
  </si>
  <si>
    <t>Zadanie T1.8</t>
  </si>
  <si>
    <t>Zadanie T1.9</t>
  </si>
  <si>
    <t>Zadanie T1.10</t>
  </si>
  <si>
    <t>Zadanie P2.1</t>
  </si>
  <si>
    <t>Zadanie P2.2</t>
  </si>
  <si>
    <t>Zadanie P2.3</t>
  </si>
  <si>
    <t>Zadanie P2.4</t>
  </si>
  <si>
    <t>Zadanie P2.5</t>
  </si>
  <si>
    <t>Zadanie P2.6</t>
  </si>
  <si>
    <t>Zadanie P2.7</t>
  </si>
  <si>
    <t>Zadanie P2.8</t>
  </si>
  <si>
    <t>Zadanie P2.9</t>
  </si>
  <si>
    <t>Zadanie P2.10</t>
  </si>
  <si>
    <t>Zadanie T2.1</t>
  </si>
  <si>
    <t>Zadanie T2.2</t>
  </si>
  <si>
    <t>Zadanie T2.3</t>
  </si>
  <si>
    <t>Zadanie T2.4</t>
  </si>
  <si>
    <t>Zadanie T2.5</t>
  </si>
  <si>
    <t>Zadanie T2.6</t>
  </si>
  <si>
    <t>Zadanie T2.7</t>
  </si>
  <si>
    <t>Zadanie T2.8</t>
  </si>
  <si>
    <t>Zadanie T2.9</t>
  </si>
  <si>
    <t>Zadanie T2.10</t>
  </si>
  <si>
    <t>Zadanie P3.1</t>
  </si>
  <si>
    <t>Zadanie P3.2</t>
  </si>
  <si>
    <t>Zadanie P3.3</t>
  </si>
  <si>
    <t>Zadanie P3.4</t>
  </si>
  <si>
    <t>Zadanie P3.5</t>
  </si>
  <si>
    <t>Zadanie P3.6</t>
  </si>
  <si>
    <t>Zadanie P3.7</t>
  </si>
  <si>
    <t>Zadanie P3.8</t>
  </si>
  <si>
    <t>Zadanie P3.9</t>
  </si>
  <si>
    <t>Zadanie P3.10</t>
  </si>
  <si>
    <t>wynagrodzenie za pracę własną Innowatora</t>
  </si>
  <si>
    <t>wysokość wydatku uzależniona od kwalifikacji i doświadczenia Innowatora</t>
  </si>
  <si>
    <t>śr. 100 zł / godz.</t>
  </si>
  <si>
    <t>komplet</t>
  </si>
  <si>
    <t>miesiąc</t>
  </si>
  <si>
    <t>osobodzień</t>
  </si>
  <si>
    <t>strona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</si>
</sst>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zł&quot;;[Red]\-#,##0\ &quot;zł&quot;"/>
    <numFmt numFmtId="43" formatCode="_-* #,##0.00_-;\-* #,##0.00_-;_-* &quot;-&quot;??_-;_-@_-"/>
    <numFmt numFmtId="164" formatCode="#,##0.00\ &quot;zł&quot;"/>
  </numFmts>
  <fonts count="21"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scheme val="minor"/>
    </font>
    <font>
      <sz val="11"/>
      <color theme="1"/>
      <name val="Calibri"/>
      <family val="2"/>
      <scheme val="minor"/>
    </font>
    <font>
      <b/>
      <sz val="11"/>
      <color theme="0"/>
      <name val="Calibri"/>
      <family val="2"/>
      <charset val="238"/>
      <scheme val="minor"/>
    </font>
    <font>
      <b/>
      <sz val="16"/>
      <color theme="1"/>
      <name val="Calibri"/>
      <family val="2"/>
      <charset val="238"/>
      <scheme val="minor"/>
    </font>
    <font>
      <b/>
      <sz val="16"/>
      <color theme="0"/>
      <name val="Calibri"/>
      <family val="2"/>
      <charset val="238"/>
      <scheme val="minor"/>
    </font>
    <font>
      <b/>
      <sz val="20"/>
      <color theme="0"/>
      <name val="Calibri"/>
      <family val="2"/>
      <charset val="238"/>
      <scheme val="minor"/>
    </font>
    <font>
      <b/>
      <sz val="14"/>
      <color theme="0"/>
      <name val="Calibri"/>
      <family val="2"/>
      <charset val="238"/>
      <scheme val="minor"/>
    </font>
    <font>
      <b/>
      <sz val="10"/>
      <color theme="1"/>
      <name val="Arial"/>
      <family val="2"/>
      <charset val="238"/>
    </font>
    <font>
      <sz val="10"/>
      <color theme="1"/>
      <name val="Arial"/>
      <family val="2"/>
      <charset val="238"/>
    </font>
    <font>
      <u/>
      <sz val="11"/>
      <color theme="10"/>
      <name val="Calibri"/>
      <family val="2"/>
      <charset val="238"/>
      <scheme val="minor"/>
    </font>
    <font>
      <u/>
      <sz val="10"/>
      <color theme="10"/>
      <name val="Arial"/>
      <family val="2"/>
      <charset val="238"/>
    </font>
    <font>
      <b/>
      <sz val="10"/>
      <color rgb="FF00B050"/>
      <name val="Arial"/>
      <family val="2"/>
      <charset val="238"/>
    </font>
    <font>
      <b/>
      <sz val="11"/>
      <color theme="1"/>
      <name val="Calibri"/>
      <family val="2"/>
      <scheme val="minor"/>
    </font>
    <font>
      <b/>
      <sz val="14"/>
      <color theme="0"/>
      <name val="Calibri"/>
      <family val="2"/>
      <scheme val="minor"/>
    </font>
    <font>
      <b/>
      <sz val="16"/>
      <name val="Calibri"/>
      <family val="2"/>
      <charset val="238"/>
      <scheme val="minor"/>
    </font>
    <font>
      <sz val="11"/>
      <name val="Calibri"/>
      <family val="2"/>
      <scheme val="minor"/>
    </font>
    <font>
      <b/>
      <sz val="1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59999389629810485"/>
        <bgColor indexed="64"/>
      </patternFill>
    </fill>
    <fill>
      <gradientFill degree="180">
        <stop position="0">
          <color theme="9"/>
        </stop>
        <stop position="1">
          <color theme="8"/>
        </stop>
      </gradientFill>
    </fill>
    <fill>
      <patternFill patternType="solid">
        <fgColor theme="5" tint="-0.249977111117893"/>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4" tint="-0.249977111117893"/>
        <bgColor auto="1"/>
      </patternFill>
    </fill>
    <fill>
      <patternFill patternType="solid">
        <fgColor theme="5" tint="0.79998168889431442"/>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5" fillId="0" borderId="0" applyFont="0" applyFill="0" applyBorder="0" applyAlignment="0" applyProtection="0"/>
    <xf numFmtId="0" fontId="2" fillId="0" borderId="0"/>
    <xf numFmtId="0" fontId="13" fillId="0" borderId="0" applyNumberFormat="0" applyFill="0" applyBorder="0" applyAlignment="0" applyProtection="0"/>
  </cellStyleXfs>
  <cellXfs count="190">
    <xf numFmtId="0" fontId="0" fillId="0" borderId="0" xfId="0"/>
    <xf numFmtId="0" fontId="3" fillId="0" borderId="0" xfId="0" applyFont="1"/>
    <xf numFmtId="0" fontId="0" fillId="3" borderId="0" xfId="0" applyFill="1" applyBorder="1"/>
    <xf numFmtId="0" fontId="0" fillId="3" borderId="0" xfId="0" applyFill="1"/>
    <xf numFmtId="0" fontId="3" fillId="3" borderId="0" xfId="0" applyFont="1" applyFill="1" applyAlignment="1">
      <alignment horizontal="center"/>
    </xf>
    <xf numFmtId="0" fontId="0" fillId="3" borderId="0" xfId="0" applyFill="1" applyAlignment="1">
      <alignment horizontal="center"/>
    </xf>
    <xf numFmtId="0" fontId="3" fillId="6" borderId="13" xfId="0" applyFont="1" applyFill="1" applyBorder="1" applyAlignment="1">
      <alignment horizontal="center"/>
    </xf>
    <xf numFmtId="0" fontId="3" fillId="6" borderId="14" xfId="0" applyFont="1" applyFill="1" applyBorder="1" applyAlignment="1">
      <alignment horizontal="center"/>
    </xf>
    <xf numFmtId="0" fontId="3" fillId="6" borderId="15" xfId="0" applyFont="1" applyFill="1" applyBorder="1" applyAlignment="1">
      <alignment horizontal="center"/>
    </xf>
    <xf numFmtId="0" fontId="0" fillId="6" borderId="16" xfId="0" applyFill="1" applyBorder="1" applyAlignment="1">
      <alignment horizontal="center"/>
    </xf>
    <xf numFmtId="0" fontId="0" fillId="6" borderId="18" xfId="0" applyFill="1" applyBorder="1" applyAlignment="1">
      <alignment horizontal="center"/>
    </xf>
    <xf numFmtId="0" fontId="3" fillId="6" borderId="16" xfId="0" applyFont="1" applyFill="1" applyBorder="1" applyAlignment="1">
      <alignment horizontal="center"/>
    </xf>
    <xf numFmtId="0" fontId="3" fillId="6" borderId="17" xfId="0" applyFont="1" applyFill="1" applyBorder="1" applyAlignment="1">
      <alignment horizontal="center"/>
    </xf>
    <xf numFmtId="0" fontId="11" fillId="7" borderId="9" xfId="2" applyFont="1" applyFill="1" applyBorder="1" applyAlignment="1">
      <alignment horizontal="center" vertical="center" wrapText="1"/>
    </xf>
    <xf numFmtId="0" fontId="11" fillId="7" borderId="9" xfId="2" applyFont="1" applyFill="1" applyBorder="1" applyAlignment="1">
      <alignment horizontal="left" vertical="center" wrapText="1"/>
    </xf>
    <xf numFmtId="0" fontId="11" fillId="7" borderId="9" xfId="2" applyFont="1" applyFill="1" applyBorder="1" applyAlignment="1">
      <alignment vertical="center" wrapText="1"/>
    </xf>
    <xf numFmtId="0" fontId="3" fillId="0" borderId="0" xfId="2" applyFont="1"/>
    <xf numFmtId="0" fontId="2" fillId="0" borderId="0" xfId="2"/>
    <xf numFmtId="0" fontId="12" fillId="0" borderId="9" xfId="2" applyFont="1" applyBorder="1" applyAlignment="1">
      <alignment horizontal="center"/>
    </xf>
    <xf numFmtId="0" fontId="11" fillId="0" borderId="9" xfId="2" applyFont="1" applyBorder="1" applyAlignment="1">
      <alignment horizontal="left" vertical="center" wrapText="1"/>
    </xf>
    <xf numFmtId="0" fontId="12" fillId="0" borderId="9" xfId="2" applyFont="1" applyBorder="1"/>
    <xf numFmtId="0" fontId="12" fillId="0" borderId="9" xfId="2" applyFont="1" applyBorder="1" applyAlignment="1">
      <alignment horizontal="center" vertical="center" wrapText="1"/>
    </xf>
    <xf numFmtId="0" fontId="14" fillId="0" borderId="9" xfId="3" applyFont="1" applyFill="1" applyBorder="1" applyAlignment="1">
      <alignment wrapText="1"/>
    </xf>
    <xf numFmtId="0" fontId="11" fillId="0" borderId="9" xfId="2" applyFont="1" applyBorder="1" applyAlignment="1">
      <alignment horizontal="center" vertical="center"/>
    </xf>
    <xf numFmtId="0" fontId="12" fillId="0" borderId="9" xfId="2" applyFont="1" applyBorder="1" applyAlignment="1">
      <alignment wrapText="1"/>
    </xf>
    <xf numFmtId="6" fontId="11" fillId="0" borderId="9" xfId="2" applyNumberFormat="1" applyFont="1" applyBorder="1" applyAlignment="1">
      <alignment horizontal="center" vertical="center"/>
    </xf>
    <xf numFmtId="0" fontId="12" fillId="0" borderId="9" xfId="2" applyFont="1" applyBorder="1" applyAlignment="1">
      <alignment horizontal="center" vertical="center"/>
    </xf>
    <xf numFmtId="0" fontId="11" fillId="0" borderId="9" xfId="2" applyFont="1" applyBorder="1" applyAlignment="1">
      <alignment horizontal="left" vertical="center"/>
    </xf>
    <xf numFmtId="6" fontId="12" fillId="0" borderId="9" xfId="2" applyNumberFormat="1" applyFont="1" applyBorder="1" applyAlignment="1">
      <alignment horizontal="center" vertical="center" wrapText="1"/>
    </xf>
    <xf numFmtId="164" fontId="11" fillId="0" borderId="9" xfId="2" applyNumberFormat="1" applyFont="1" applyBorder="1" applyAlignment="1">
      <alignment horizontal="center" vertical="center"/>
    </xf>
    <xf numFmtId="0" fontId="12" fillId="0" borderId="0" xfId="2" applyFont="1" applyAlignment="1">
      <alignment horizontal="center"/>
    </xf>
    <xf numFmtId="0" fontId="11" fillId="0" borderId="0" xfId="2" applyFont="1" applyAlignment="1">
      <alignment horizontal="left" vertical="center"/>
    </xf>
    <xf numFmtId="0" fontId="12" fillId="0" borderId="0" xfId="2" applyFont="1"/>
    <xf numFmtId="0" fontId="12" fillId="0" borderId="0" xfId="2" applyFont="1" applyAlignment="1">
      <alignment horizontal="center" vertical="center"/>
    </xf>
    <xf numFmtId="0" fontId="3" fillId="9" borderId="13" xfId="0" applyFont="1" applyFill="1" applyBorder="1" applyAlignment="1">
      <alignment horizontal="center"/>
    </xf>
    <xf numFmtId="0" fontId="3" fillId="9" borderId="14" xfId="0" applyFont="1" applyFill="1" applyBorder="1" applyAlignment="1">
      <alignment horizontal="center"/>
    </xf>
    <xf numFmtId="0" fontId="3" fillId="9" borderId="15" xfId="0" applyFont="1" applyFill="1" applyBorder="1" applyAlignment="1">
      <alignment horizontal="center"/>
    </xf>
    <xf numFmtId="0" fontId="0" fillId="9" borderId="16" xfId="0" applyFill="1" applyBorder="1" applyAlignment="1">
      <alignment horizontal="center"/>
    </xf>
    <xf numFmtId="0" fontId="0" fillId="9" borderId="18" xfId="0" applyFill="1" applyBorder="1" applyAlignment="1">
      <alignment horizontal="center"/>
    </xf>
    <xf numFmtId="0" fontId="3" fillId="9" borderId="16" xfId="0" applyFont="1" applyFill="1" applyBorder="1" applyAlignment="1">
      <alignment horizontal="center"/>
    </xf>
    <xf numFmtId="0" fontId="3" fillId="9" borderId="17" xfId="0" applyFont="1" applyFill="1" applyBorder="1" applyAlignment="1">
      <alignment horizontal="center"/>
    </xf>
    <xf numFmtId="2" fontId="0" fillId="6" borderId="16" xfId="0" applyNumberFormat="1" applyFill="1" applyBorder="1" applyAlignment="1">
      <alignment horizontal="center"/>
    </xf>
    <xf numFmtId="2" fontId="0" fillId="6" borderId="18" xfId="0" applyNumberFormat="1" applyFill="1" applyBorder="1" applyAlignment="1">
      <alignment horizontal="center"/>
    </xf>
    <xf numFmtId="0" fontId="0" fillId="2" borderId="9" xfId="0" applyFill="1" applyBorder="1" applyAlignment="1">
      <alignment horizontal="center"/>
    </xf>
    <xf numFmtId="0" fontId="0" fillId="2" borderId="19" xfId="0" applyFill="1" applyBorder="1" applyAlignment="1">
      <alignment horizontal="center"/>
    </xf>
    <xf numFmtId="0" fontId="0" fillId="6" borderId="9" xfId="0" applyFill="1" applyBorder="1" applyAlignment="1">
      <alignment horizontal="center"/>
    </xf>
    <xf numFmtId="0" fontId="0" fillId="2" borderId="17" xfId="0" applyFill="1" applyBorder="1" applyAlignment="1">
      <alignment horizontal="center"/>
    </xf>
    <xf numFmtId="0" fontId="0" fillId="9" borderId="9" xfId="0" applyFill="1" applyBorder="1" applyAlignment="1">
      <alignment horizontal="center"/>
    </xf>
    <xf numFmtId="0" fontId="0" fillId="6" borderId="19" xfId="0" applyFill="1" applyBorder="1" applyAlignment="1">
      <alignment horizontal="center"/>
    </xf>
    <xf numFmtId="0" fontId="0" fillId="2" borderId="20" xfId="0" applyFill="1" applyBorder="1" applyAlignment="1">
      <alignment horizontal="center"/>
    </xf>
    <xf numFmtId="0" fontId="0" fillId="9" borderId="19" xfId="0" applyFill="1" applyBorder="1" applyAlignment="1">
      <alignment horizontal="center"/>
    </xf>
    <xf numFmtId="0" fontId="0" fillId="2" borderId="9" xfId="0" applyFill="1" applyBorder="1" applyAlignment="1">
      <alignment horizontal="center"/>
    </xf>
    <xf numFmtId="0" fontId="0" fillId="2" borderId="19" xfId="0" applyFill="1" applyBorder="1" applyAlignment="1">
      <alignment horizontal="center"/>
    </xf>
    <xf numFmtId="0" fontId="3" fillId="6" borderId="9" xfId="0" applyFont="1" applyFill="1" applyBorder="1" applyAlignment="1">
      <alignment horizontal="center"/>
    </xf>
    <xf numFmtId="0" fontId="3" fillId="12" borderId="9" xfId="0" applyFont="1" applyFill="1" applyBorder="1" applyAlignment="1">
      <alignment horizontal="center"/>
    </xf>
    <xf numFmtId="0" fontId="3" fillId="12" borderId="16" xfId="0" applyFont="1" applyFill="1" applyBorder="1" applyAlignment="1">
      <alignment horizontal="center"/>
    </xf>
    <xf numFmtId="0" fontId="3" fillId="12" borderId="17" xfId="0" applyFont="1" applyFill="1" applyBorder="1" applyAlignment="1">
      <alignment horizontal="center"/>
    </xf>
    <xf numFmtId="0" fontId="0" fillId="2" borderId="16" xfId="0" applyFill="1" applyBorder="1" applyAlignment="1">
      <alignment horizontal="center"/>
    </xf>
    <xf numFmtId="0" fontId="0" fillId="2" borderId="18" xfId="0"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16" fillId="0" borderId="0" xfId="0" applyFont="1"/>
    <xf numFmtId="0" fontId="0" fillId="2" borderId="9" xfId="0" applyFill="1" applyBorder="1" applyAlignment="1">
      <alignment horizontal="center"/>
    </xf>
    <xf numFmtId="0" fontId="0" fillId="2" borderId="4" xfId="0" applyFill="1" applyBorder="1"/>
    <xf numFmtId="0" fontId="7" fillId="2" borderId="0" xfId="0" applyFont="1" applyFill="1" applyBorder="1" applyAlignment="1">
      <alignment horizontal="center"/>
    </xf>
    <xf numFmtId="0" fontId="0" fillId="2" borderId="5" xfId="0" applyFill="1" applyBorder="1"/>
    <xf numFmtId="0" fontId="3" fillId="2" borderId="0" xfId="0" applyFont="1" applyFill="1" applyBorder="1"/>
    <xf numFmtId="0" fontId="0" fillId="2" borderId="0" xfId="0" applyFill="1" applyBorder="1"/>
    <xf numFmtId="0" fontId="0" fillId="2" borderId="16" xfId="0" applyNumberFormat="1" applyFill="1" applyBorder="1" applyAlignment="1">
      <alignment horizontal="center"/>
    </xf>
    <xf numFmtId="0" fontId="0" fillId="2" borderId="0" xfId="0" applyFill="1" applyBorder="1" applyAlignment="1">
      <alignment horizontal="center"/>
    </xf>
    <xf numFmtId="0" fontId="0" fillId="2" borderId="18" xfId="0" applyNumberFormat="1" applyFill="1" applyBorder="1" applyAlignment="1">
      <alignment horizontal="center"/>
    </xf>
    <xf numFmtId="0" fontId="3" fillId="2" borderId="24" xfId="0" applyFont="1" applyFill="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3" fillId="7" borderId="14" xfId="0" applyFont="1" applyFill="1" applyBorder="1"/>
    <xf numFmtId="0" fontId="3" fillId="7" borderId="19" xfId="0" applyFont="1" applyFill="1" applyBorder="1"/>
    <xf numFmtId="0" fontId="6" fillId="3" borderId="23" xfId="0" applyFont="1" applyFill="1" applyBorder="1" applyAlignment="1">
      <alignment horizontal="center"/>
    </xf>
    <xf numFmtId="0" fontId="3" fillId="7" borderId="16" xfId="0" applyFont="1" applyFill="1" applyBorder="1" applyAlignment="1">
      <alignment horizontal="center"/>
    </xf>
    <xf numFmtId="0" fontId="3" fillId="7" borderId="9" xfId="0" applyFont="1" applyFill="1" applyBorder="1" applyAlignment="1">
      <alignment horizontal="center"/>
    </xf>
    <xf numFmtId="0" fontId="3" fillId="7" borderId="17" xfId="0" applyFont="1" applyFill="1" applyBorder="1" applyAlignment="1">
      <alignment horizontal="center"/>
    </xf>
    <xf numFmtId="0" fontId="0" fillId="13" borderId="10" xfId="0" applyFill="1" applyBorder="1"/>
    <xf numFmtId="0" fontId="0" fillId="13" borderId="12" xfId="0" applyFill="1" applyBorder="1"/>
    <xf numFmtId="0" fontId="19" fillId="2" borderId="4" xfId="0" applyFont="1" applyFill="1" applyBorder="1"/>
    <xf numFmtId="0" fontId="19" fillId="2" borderId="5" xfId="0" applyFont="1" applyFill="1" applyBorder="1"/>
    <xf numFmtId="0" fontId="20" fillId="2" borderId="0" xfId="0" applyFont="1" applyFill="1" applyBorder="1" applyAlignment="1">
      <alignment horizontal="center"/>
    </xf>
    <xf numFmtId="0" fontId="3" fillId="6" borderId="9" xfId="0" applyFont="1" applyFill="1" applyBorder="1" applyAlignment="1">
      <alignment horizontal="center"/>
    </xf>
    <xf numFmtId="0" fontId="0" fillId="2" borderId="9" xfId="0" applyFill="1" applyBorder="1" applyAlignment="1">
      <alignment horizontal="center"/>
    </xf>
    <xf numFmtId="0" fontId="3" fillId="9" borderId="9" xfId="0" applyFont="1" applyFill="1" applyBorder="1" applyAlignment="1">
      <alignment horizontal="center"/>
    </xf>
    <xf numFmtId="0" fontId="0" fillId="2" borderId="19" xfId="0" applyFill="1" applyBorder="1" applyAlignment="1">
      <alignment horizontal="center"/>
    </xf>
    <xf numFmtId="0" fontId="11" fillId="0" borderId="9" xfId="2" applyFont="1" applyBorder="1" applyAlignment="1">
      <alignment horizontal="left" vertical="center" wrapText="1"/>
    </xf>
    <xf numFmtId="14" fontId="0" fillId="2" borderId="9" xfId="0" applyNumberFormat="1" applyFill="1" applyBorder="1" applyAlignment="1">
      <alignment horizontal="center"/>
    </xf>
    <xf numFmtId="14" fontId="0" fillId="2" borderId="19" xfId="0" applyNumberFormat="1" applyFill="1" applyBorder="1" applyAlignment="1">
      <alignment horizontal="center"/>
    </xf>
    <xf numFmtId="14" fontId="3" fillId="2" borderId="15" xfId="0" applyNumberFormat="1" applyFont="1" applyFill="1" applyBorder="1"/>
    <xf numFmtId="14" fontId="3" fillId="2" borderId="20" xfId="0" applyNumberFormat="1" applyFont="1" applyFill="1" applyBorder="1"/>
    <xf numFmtId="0" fontId="3" fillId="12" borderId="13" xfId="0" applyFont="1" applyFill="1" applyBorder="1" applyAlignment="1">
      <alignment horizontal="center"/>
    </xf>
    <xf numFmtId="0" fontId="3" fillId="12" borderId="14" xfId="0" applyFont="1" applyFill="1" applyBorder="1" applyAlignment="1">
      <alignment horizontal="center"/>
    </xf>
    <xf numFmtId="0" fontId="3" fillId="12" borderId="15" xfId="0" applyFont="1" applyFill="1" applyBorder="1" applyAlignment="1">
      <alignment horizontal="center"/>
    </xf>
    <xf numFmtId="14" fontId="0" fillId="2" borderId="17" xfId="0" applyNumberFormat="1" applyFill="1" applyBorder="1" applyAlignment="1">
      <alignment horizontal="center"/>
    </xf>
    <xf numFmtId="14" fontId="0" fillId="2" borderId="20" xfId="0" applyNumberFormat="1" applyFill="1" applyBorder="1" applyAlignment="1">
      <alignment horizontal="center"/>
    </xf>
    <xf numFmtId="0" fontId="0" fillId="2" borderId="26" xfId="0" applyFill="1" applyBorder="1" applyAlignment="1">
      <alignment horizontal="center"/>
    </xf>
    <xf numFmtId="0" fontId="0" fillId="2" borderId="37" xfId="0" applyFill="1" applyBorder="1" applyAlignment="1">
      <alignment horizontal="center"/>
    </xf>
    <xf numFmtId="0" fontId="0" fillId="2" borderId="22" xfId="0" applyFill="1" applyBorder="1" applyAlignment="1">
      <alignment horizontal="center"/>
    </xf>
    <xf numFmtId="0" fontId="0" fillId="2" borderId="28" xfId="0" applyFill="1" applyBorder="1" applyAlignment="1">
      <alignment horizontal="center"/>
    </xf>
    <xf numFmtId="0" fontId="0" fillId="2" borderId="38" xfId="0" applyFill="1" applyBorder="1" applyAlignment="1">
      <alignment horizontal="center"/>
    </xf>
    <xf numFmtId="0" fontId="0" fillId="2" borderId="32" xfId="0" applyFill="1" applyBorder="1" applyAlignment="1">
      <alignment horizontal="center"/>
    </xf>
    <xf numFmtId="0" fontId="0" fillId="2" borderId="30" xfId="0" applyFill="1" applyBorder="1" applyAlignment="1">
      <alignment horizontal="center"/>
    </xf>
    <xf numFmtId="0" fontId="0" fillId="2" borderId="39" xfId="0" applyFill="1" applyBorder="1" applyAlignment="1">
      <alignment horizontal="center"/>
    </xf>
    <xf numFmtId="0" fontId="0" fillId="2" borderId="33" xfId="0" applyFill="1" applyBorder="1" applyAlignment="1">
      <alignment horizontal="center"/>
    </xf>
    <xf numFmtId="0" fontId="0" fillId="2" borderId="27" xfId="0" applyFill="1" applyBorder="1" applyAlignment="1">
      <alignment horizontal="center"/>
    </xf>
    <xf numFmtId="0" fontId="0" fillId="2" borderId="29" xfId="0" applyFill="1" applyBorder="1" applyAlignment="1">
      <alignment horizontal="center"/>
    </xf>
    <xf numFmtId="0" fontId="0" fillId="2" borderId="31" xfId="0" applyFill="1" applyBorder="1" applyAlignment="1">
      <alignment horizontal="center"/>
    </xf>
    <xf numFmtId="0" fontId="17" fillId="11" borderId="34" xfId="0" applyFont="1" applyFill="1" applyBorder="1" applyAlignment="1">
      <alignment horizontal="center"/>
    </xf>
    <xf numFmtId="0" fontId="17" fillId="11" borderId="35" xfId="0" applyFont="1" applyFill="1" applyBorder="1" applyAlignment="1">
      <alignment horizontal="center"/>
    </xf>
    <xf numFmtId="0" fontId="17" fillId="11" borderId="36" xfId="0" applyFont="1" applyFill="1" applyBorder="1" applyAlignment="1">
      <alignment horizontal="center"/>
    </xf>
    <xf numFmtId="0" fontId="6" fillId="5" borderId="13" xfId="0" applyFont="1" applyFill="1" applyBorder="1" applyAlignment="1">
      <alignment horizontal="center"/>
    </xf>
    <xf numFmtId="0" fontId="6" fillId="5" borderId="14" xfId="0" applyFont="1" applyFill="1" applyBorder="1" applyAlignment="1">
      <alignment horizontal="center"/>
    </xf>
    <xf numFmtId="0" fontId="6" fillId="5" borderId="15" xfId="0" applyFont="1" applyFill="1" applyBorder="1" applyAlignment="1">
      <alignment horizontal="center"/>
    </xf>
    <xf numFmtId="0" fontId="10" fillId="5" borderId="1" xfId="0" applyFont="1" applyFill="1" applyBorder="1" applyAlignment="1">
      <alignment horizontal="center"/>
    </xf>
    <xf numFmtId="0" fontId="10" fillId="5" borderId="2" xfId="0" applyFont="1" applyFill="1" applyBorder="1" applyAlignment="1">
      <alignment horizontal="center"/>
    </xf>
    <xf numFmtId="0" fontId="10" fillId="5" borderId="3" xfId="0" applyFont="1" applyFill="1" applyBorder="1" applyAlignment="1">
      <alignment horizontal="center"/>
    </xf>
    <xf numFmtId="0" fontId="9" fillId="5" borderId="10" xfId="0" applyFont="1" applyFill="1" applyBorder="1" applyAlignment="1">
      <alignment horizontal="center"/>
    </xf>
    <xf numFmtId="0" fontId="9" fillId="5" borderId="11" xfId="0" applyFont="1" applyFill="1" applyBorder="1" applyAlignment="1">
      <alignment horizontal="center"/>
    </xf>
    <xf numFmtId="0" fontId="9" fillId="5" borderId="12" xfId="0" applyFont="1" applyFill="1" applyBorder="1" applyAlignment="1">
      <alignment horizontal="center"/>
    </xf>
    <xf numFmtId="0" fontId="9" fillId="8" borderId="10" xfId="0" applyFont="1" applyFill="1" applyBorder="1" applyAlignment="1">
      <alignment horizontal="center"/>
    </xf>
    <xf numFmtId="0" fontId="9" fillId="8" borderId="11" xfId="0" applyFont="1" applyFill="1" applyBorder="1" applyAlignment="1">
      <alignment horizontal="center"/>
    </xf>
    <xf numFmtId="0" fontId="9" fillId="8" borderId="12" xfId="0" applyFont="1" applyFill="1" applyBorder="1" applyAlignment="1">
      <alignment horizontal="center"/>
    </xf>
    <xf numFmtId="0" fontId="10" fillId="8" borderId="1" xfId="0" applyFont="1" applyFill="1" applyBorder="1" applyAlignment="1">
      <alignment horizontal="center"/>
    </xf>
    <xf numFmtId="0" fontId="10" fillId="8" borderId="2" xfId="0" applyFont="1" applyFill="1" applyBorder="1" applyAlignment="1">
      <alignment horizontal="center"/>
    </xf>
    <xf numFmtId="0" fontId="10" fillId="8" borderId="3" xfId="0" applyFont="1" applyFill="1" applyBorder="1" applyAlignment="1">
      <alignment horizontal="center"/>
    </xf>
    <xf numFmtId="0" fontId="0" fillId="4" borderId="9" xfId="0" applyFill="1" applyBorder="1" applyAlignment="1">
      <alignment horizontal="center"/>
    </xf>
    <xf numFmtId="0" fontId="10" fillId="5" borderId="10" xfId="0" applyFont="1" applyFill="1" applyBorder="1" applyAlignment="1">
      <alignment horizontal="center"/>
    </xf>
    <xf numFmtId="0" fontId="10" fillId="5" borderId="11" xfId="0" applyFont="1" applyFill="1" applyBorder="1" applyAlignment="1">
      <alignment horizontal="center"/>
    </xf>
    <xf numFmtId="0" fontId="10" fillId="5" borderId="12" xfId="0" applyFont="1" applyFill="1" applyBorder="1" applyAlignment="1">
      <alignment horizontal="center"/>
    </xf>
    <xf numFmtId="0" fontId="0" fillId="2" borderId="9" xfId="0" applyFill="1" applyBorder="1" applyAlignment="1">
      <alignment horizontal="center"/>
    </xf>
    <xf numFmtId="0" fontId="0" fillId="2" borderId="43" xfId="0" applyFill="1" applyBorder="1" applyAlignment="1">
      <alignment horizontal="center"/>
    </xf>
    <xf numFmtId="0" fontId="0" fillId="2" borderId="44" xfId="0" applyFill="1" applyBorder="1" applyAlignment="1">
      <alignment horizontal="center"/>
    </xf>
    <xf numFmtId="0" fontId="0" fillId="2" borderId="45" xfId="0" applyFill="1" applyBorder="1" applyAlignment="1">
      <alignment horizontal="center"/>
    </xf>
    <xf numFmtId="0" fontId="0" fillId="2" borderId="40" xfId="0" applyFill="1" applyBorder="1" applyAlignment="1">
      <alignment horizontal="center"/>
    </xf>
    <xf numFmtId="0" fontId="0" fillId="2" borderId="41" xfId="0" applyFill="1" applyBorder="1" applyAlignment="1">
      <alignment horizontal="center"/>
    </xf>
    <xf numFmtId="0" fontId="0" fillId="2" borderId="42" xfId="0" applyFill="1" applyBorder="1" applyAlignment="1">
      <alignment horizontal="center"/>
    </xf>
    <xf numFmtId="0" fontId="0" fillId="4" borderId="40" xfId="0" applyFill="1" applyBorder="1" applyAlignment="1">
      <alignment horizontal="center"/>
    </xf>
    <xf numFmtId="0" fontId="0" fillId="4" borderId="41" xfId="0" applyFill="1" applyBorder="1" applyAlignment="1">
      <alignment horizontal="center"/>
    </xf>
    <xf numFmtId="0" fontId="0" fillId="4" borderId="42" xfId="0" applyFill="1" applyBorder="1" applyAlignment="1">
      <alignment horizontal="center"/>
    </xf>
    <xf numFmtId="0" fontId="9" fillId="10" borderId="10" xfId="0" applyFont="1" applyFill="1" applyBorder="1" applyAlignment="1">
      <alignment horizontal="center"/>
    </xf>
    <xf numFmtId="0" fontId="9" fillId="10" borderId="11" xfId="0" applyFont="1" applyFill="1" applyBorder="1" applyAlignment="1">
      <alignment horizontal="center"/>
    </xf>
    <xf numFmtId="0" fontId="9" fillId="10" borderId="12" xfId="0" applyFont="1" applyFill="1" applyBorder="1" applyAlignment="1">
      <alignment horizontal="center"/>
    </xf>
    <xf numFmtId="0" fontId="0" fillId="4" borderId="43" xfId="0" applyFill="1" applyBorder="1" applyAlignment="1">
      <alignment horizontal="center"/>
    </xf>
    <xf numFmtId="0" fontId="0" fillId="4" borderId="44" xfId="0" applyFill="1" applyBorder="1" applyAlignment="1">
      <alignment horizontal="center"/>
    </xf>
    <xf numFmtId="0" fontId="0" fillId="4" borderId="45" xfId="0" applyFill="1" applyBorder="1" applyAlignment="1">
      <alignment horizontal="center"/>
    </xf>
    <xf numFmtId="0" fontId="3" fillId="6" borderId="9" xfId="0" applyFont="1" applyFill="1" applyBorder="1" applyAlignment="1">
      <alignment horizontal="center"/>
    </xf>
    <xf numFmtId="0" fontId="6" fillId="8" borderId="13" xfId="0" applyFont="1" applyFill="1" applyBorder="1" applyAlignment="1">
      <alignment horizontal="center"/>
    </xf>
    <xf numFmtId="0" fontId="6" fillId="8" borderId="14" xfId="0" applyFont="1" applyFill="1" applyBorder="1" applyAlignment="1">
      <alignment horizontal="center"/>
    </xf>
    <xf numFmtId="0" fontId="6" fillId="8" borderId="15" xfId="0" applyFont="1" applyFill="1" applyBorder="1" applyAlignment="1">
      <alignment horizontal="center"/>
    </xf>
    <xf numFmtId="0" fontId="3" fillId="9" borderId="9" xfId="0" applyFont="1" applyFill="1" applyBorder="1" applyAlignment="1">
      <alignment horizontal="center"/>
    </xf>
    <xf numFmtId="0" fontId="0" fillId="2" borderId="19" xfId="0" applyFill="1" applyBorder="1" applyAlignment="1">
      <alignment horizontal="center"/>
    </xf>
    <xf numFmtId="0" fontId="9" fillId="5" borderId="10" xfId="0" applyFont="1" applyFill="1" applyBorder="1" applyAlignment="1">
      <alignment horizontal="center"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9" fillId="8" borderId="10" xfId="0" applyFont="1" applyFill="1" applyBorder="1" applyAlignment="1">
      <alignment horizontal="center" vertical="center"/>
    </xf>
    <xf numFmtId="0" fontId="9" fillId="8" borderId="11" xfId="0" applyFont="1" applyFill="1" applyBorder="1" applyAlignment="1">
      <alignment horizontal="center" vertical="center"/>
    </xf>
    <xf numFmtId="0" fontId="9" fillId="8" borderId="12" xfId="0" applyFont="1" applyFill="1" applyBorder="1" applyAlignment="1">
      <alignment horizontal="center" vertical="center"/>
    </xf>
    <xf numFmtId="0" fontId="3" fillId="12" borderId="9" xfId="0" applyFont="1" applyFill="1" applyBorder="1" applyAlignment="1">
      <alignment horizontal="center" vertical="center" wrapText="1"/>
    </xf>
    <xf numFmtId="0" fontId="3" fillId="12" borderId="9" xfId="0" applyFont="1" applyFill="1" applyBorder="1" applyAlignment="1">
      <alignment horizontal="center" vertical="center"/>
    </xf>
    <xf numFmtId="0" fontId="0" fillId="15" borderId="40" xfId="0" applyFill="1" applyBorder="1" applyAlignment="1">
      <alignment horizontal="center"/>
    </xf>
    <xf numFmtId="0" fontId="0" fillId="15" borderId="41" xfId="0" applyFill="1" applyBorder="1" applyAlignment="1">
      <alignment horizontal="center"/>
    </xf>
    <xf numFmtId="0" fontId="0" fillId="15" borderId="42" xfId="0" applyFill="1" applyBorder="1" applyAlignment="1">
      <alignment horizontal="center"/>
    </xf>
    <xf numFmtId="0" fontId="9" fillId="14" borderId="10" xfId="0" applyFont="1" applyFill="1" applyBorder="1" applyAlignment="1">
      <alignment horizontal="center"/>
    </xf>
    <xf numFmtId="0" fontId="9" fillId="14" borderId="11" xfId="0" applyFont="1" applyFill="1" applyBorder="1" applyAlignment="1">
      <alignment horizontal="center"/>
    </xf>
    <xf numFmtId="0" fontId="8" fillId="13" borderId="11"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0" xfId="0" applyFont="1" applyFill="1" applyBorder="1" applyAlignment="1">
      <alignment horizontal="center"/>
    </xf>
    <xf numFmtId="0" fontId="6" fillId="3" borderId="25" xfId="0" applyFont="1" applyFill="1" applyBorder="1" applyAlignment="1">
      <alignment horizontal="center"/>
    </xf>
    <xf numFmtId="0" fontId="18" fillId="2" borderId="10" xfId="0" applyFont="1" applyFill="1" applyBorder="1" applyAlignment="1">
      <alignment horizontal="center"/>
    </xf>
    <xf numFmtId="0" fontId="18" fillId="2" borderId="11" xfId="0" applyFont="1" applyFill="1" applyBorder="1" applyAlignment="1">
      <alignment horizontal="center"/>
    </xf>
    <xf numFmtId="0" fontId="18" fillId="2" borderId="12" xfId="0" applyFont="1" applyFill="1" applyBorder="1" applyAlignment="1">
      <alignment horizontal="center"/>
    </xf>
    <xf numFmtId="43" fontId="18" fillId="2" borderId="10" xfId="1" applyFont="1" applyFill="1" applyBorder="1" applyAlignment="1">
      <alignment horizontal="center"/>
    </xf>
    <xf numFmtId="43" fontId="18" fillId="2" borderId="12" xfId="1" applyFont="1" applyFill="1" applyBorder="1" applyAlignment="1">
      <alignment horizontal="center"/>
    </xf>
    <xf numFmtId="0" fontId="12" fillId="0" borderId="9" xfId="2" applyFont="1" applyBorder="1" applyAlignment="1">
      <alignment horizontal="center" vertical="center" wrapText="1"/>
    </xf>
    <xf numFmtId="0" fontId="11" fillId="0" borderId="9" xfId="2" applyFont="1" applyBorder="1" applyAlignment="1">
      <alignment horizontal="left" vertical="center" wrapText="1"/>
    </xf>
    <xf numFmtId="0" fontId="12" fillId="0" borderId="9" xfId="2" applyFont="1" applyBorder="1" applyAlignment="1">
      <alignment horizontal="left" vertical="center" wrapText="1"/>
    </xf>
    <xf numFmtId="0" fontId="12" fillId="0" borderId="9" xfId="2" applyFont="1" applyBorder="1" applyAlignment="1">
      <alignment vertical="center" wrapText="1"/>
    </xf>
    <xf numFmtId="0" fontId="11" fillId="0" borderId="9" xfId="2" applyFont="1" applyBorder="1" applyAlignment="1">
      <alignment horizontal="left" vertical="center"/>
    </xf>
  </cellXfs>
  <cellStyles count="4">
    <cellStyle name="Dziesiętny" xfId="1" builtinId="3"/>
    <cellStyle name="Hiperłącze 2" xfId="3" xr:uid="{AD75A0F0-B21E-4A9B-BD92-C40D4BB4680D}"/>
    <cellStyle name="Normalny" xfId="0" builtinId="0"/>
    <cellStyle name="Normalny 2" xfId="2" xr:uid="{AB1EE626-58B8-4CF3-B446-965745F495FB}"/>
  </cellStyles>
  <dxfs count="53">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semastudio.pl/cennik-filmow/" TargetMode="External"/><Relationship Id="rId7" Type="http://schemas.openxmlformats.org/officeDocument/2006/relationships/printerSettings" Target="../printerSettings/printerSettings6.bin"/><Relationship Id="rId2" Type="http://schemas.openxmlformats.org/officeDocument/2006/relationships/hyperlink" Target="https://innowacje.spoldzielnie.org/wp-content/uploads/2020/04/Wykaz-%C5%9Brednich-rekomendowanych-stawek.pdflub%20stawka%20z%20projektu%20POWR.03.05.00-00-Z303/17%20w%20ramach%20naboru%20POWR.03.05.00-IP.08-00-PZ3/17" TargetMode="External"/><Relationship Id="rId1" Type="http://schemas.openxmlformats.org/officeDocument/2006/relationships/hyperlink" Target="https://efs.men.gov.pl/wp-content/uploads/2019/12/Zalacznik_nr_10_zestawienie_cen_i_standardow_szkola_cwiczen_wersja_3.pdf" TargetMode="External"/><Relationship Id="rId6" Type="http://schemas.openxmlformats.org/officeDocument/2006/relationships/hyperlink" Target="https://zarobki.pracuj.pl/stanowiska/it-rozwoj-oprogramowania/tester-oprogramowania-ekspert" TargetMode="External"/><Relationship Id="rId5" Type="http://schemas.openxmlformats.org/officeDocument/2006/relationships/hyperlink" Target="https://www.funduszeeuropejskie.gov.pl/media/98256/Zal_3_.pdf%20(taryfikator%204.1%20POWER%202021)" TargetMode="External"/><Relationship Id="rId4" Type="http://schemas.openxmlformats.org/officeDocument/2006/relationships/hyperlink" Target="https://www.funduszeeuropejskie.gov.pl/media/98256/Zal_3_.pdf%20(taryfikator%204.1%20POWER%20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2D24-B5A4-4618-83A8-49725E401EE1}">
  <sheetPr codeName="Arkusz1"/>
  <dimension ref="B1:V147"/>
  <sheetViews>
    <sheetView zoomScale="80" zoomScaleNormal="80" workbookViewId="0">
      <selection activeCell="H34" sqref="H34"/>
    </sheetView>
  </sheetViews>
  <sheetFormatPr defaultColWidth="30.85546875" defaultRowHeight="15" x14ac:dyDescent="0.25"/>
  <cols>
    <col min="1" max="1" width="5.5703125" style="3" customWidth="1"/>
    <col min="2" max="2" width="12.5703125" style="3" customWidth="1"/>
    <col min="3" max="3" width="36.140625" style="3" customWidth="1"/>
    <col min="4" max="4" width="17.7109375" style="3" bestFit="1" customWidth="1"/>
    <col min="5" max="5" width="17.42578125" style="3" bestFit="1" customWidth="1"/>
    <col min="6" max="6" width="17.85546875" style="3" bestFit="1" customWidth="1"/>
    <col min="7" max="7" width="15.85546875" style="3" bestFit="1" customWidth="1"/>
    <col min="8" max="8" width="17.7109375" style="3" bestFit="1" customWidth="1"/>
    <col min="9" max="9" width="19.42578125" style="3" bestFit="1" customWidth="1"/>
    <col min="10" max="10" width="5" style="3" customWidth="1"/>
    <col min="11" max="11" width="15.140625" style="3" customWidth="1"/>
    <col min="12" max="12" width="32.140625" style="3" customWidth="1"/>
    <col min="13" max="13" width="17.7109375" style="3" bestFit="1" customWidth="1"/>
    <col min="14" max="14" width="18.5703125" style="3" customWidth="1"/>
    <col min="15" max="15" width="17.85546875" style="3" bestFit="1" customWidth="1"/>
    <col min="16" max="16" width="15.7109375" style="3" bestFit="1" customWidth="1"/>
    <col min="17" max="17" width="17.7109375" style="3" bestFit="1" customWidth="1"/>
    <col min="18" max="18" width="19.42578125" style="3" bestFit="1" customWidth="1"/>
    <col min="19" max="19" width="30.85546875" style="3"/>
    <col min="20" max="20" width="52" style="3" customWidth="1"/>
    <col min="21" max="21" width="44.28515625" style="3" customWidth="1"/>
    <col min="22" max="22" width="47.7109375" style="3" customWidth="1"/>
    <col min="23" max="16384" width="30.85546875" style="3"/>
  </cols>
  <sheetData>
    <row r="1" spans="2:22" ht="15.75" thickBot="1" x14ac:dyDescent="0.3"/>
    <row r="2" spans="2:22" ht="27" thickBot="1" x14ac:dyDescent="0.45">
      <c r="B2" s="144" t="s">
        <v>31</v>
      </c>
      <c r="C2" s="145"/>
      <c r="D2" s="145"/>
      <c r="E2" s="145"/>
      <c r="F2" s="145"/>
      <c r="G2" s="145"/>
      <c r="H2" s="145"/>
      <c r="I2" s="145"/>
      <c r="J2" s="145"/>
      <c r="K2" s="145"/>
      <c r="L2" s="145"/>
      <c r="M2" s="145"/>
      <c r="N2" s="145"/>
      <c r="O2" s="145"/>
      <c r="P2" s="145"/>
      <c r="Q2" s="145"/>
      <c r="R2" s="146"/>
    </row>
    <row r="3" spans="2:22" ht="15.75" thickBot="1" x14ac:dyDescent="0.3"/>
    <row r="4" spans="2:22" ht="18.75" x14ac:dyDescent="0.3">
      <c r="B4" s="115" t="s">
        <v>0</v>
      </c>
      <c r="C4" s="116"/>
      <c r="D4" s="116"/>
      <c r="E4" s="116"/>
      <c r="F4" s="116"/>
      <c r="G4" s="116"/>
      <c r="H4" s="116"/>
      <c r="I4" s="117"/>
      <c r="K4" s="151" t="s">
        <v>30</v>
      </c>
      <c r="L4" s="152"/>
      <c r="M4" s="152"/>
      <c r="N4" s="152"/>
      <c r="O4" s="152"/>
      <c r="P4" s="152"/>
      <c r="Q4" s="152"/>
      <c r="R4" s="153"/>
      <c r="T4" s="112" t="s">
        <v>164</v>
      </c>
      <c r="U4" s="113"/>
      <c r="V4" s="114"/>
    </row>
    <row r="5" spans="2:22" x14ac:dyDescent="0.25">
      <c r="B5" s="11" t="s">
        <v>33</v>
      </c>
      <c r="C5" s="150" t="s">
        <v>2</v>
      </c>
      <c r="D5" s="150"/>
      <c r="E5" s="150"/>
      <c r="F5" s="150"/>
      <c r="G5" s="86" t="s">
        <v>18</v>
      </c>
      <c r="H5" s="86" t="s">
        <v>44</v>
      </c>
      <c r="I5" s="12" t="s">
        <v>45</v>
      </c>
      <c r="K5" s="39" t="s">
        <v>33</v>
      </c>
      <c r="L5" s="154" t="s">
        <v>2</v>
      </c>
      <c r="M5" s="154"/>
      <c r="N5" s="154"/>
      <c r="O5" s="154"/>
      <c r="P5" s="88" t="s">
        <v>18</v>
      </c>
      <c r="Q5" s="88" t="s">
        <v>44</v>
      </c>
      <c r="R5" s="40" t="s">
        <v>45</v>
      </c>
      <c r="T5" s="55" t="s">
        <v>177</v>
      </c>
      <c r="U5" s="54" t="s">
        <v>174</v>
      </c>
      <c r="V5" s="56" t="s">
        <v>165</v>
      </c>
    </row>
    <row r="6" spans="2:22" x14ac:dyDescent="0.25">
      <c r="B6" s="9" t="str">
        <f>IF(C6&lt;&gt;"","1."&amp;1,"")</f>
        <v>1.1</v>
      </c>
      <c r="C6" s="134" t="s">
        <v>191</v>
      </c>
      <c r="D6" s="134"/>
      <c r="E6" s="134"/>
      <c r="F6" s="134"/>
      <c r="G6" s="45">
        <f>IF(C6&lt;&gt;"",SUM('Etap 1'!H21:H30),"")</f>
        <v>2796</v>
      </c>
      <c r="H6" s="91">
        <v>43831</v>
      </c>
      <c r="I6" s="98">
        <v>43831</v>
      </c>
      <c r="K6" s="37" t="str">
        <f>IF(L6&lt;&gt;"","1."&amp; 10-COUNTBLANK(B6:B15)+1,"")</f>
        <v>1.11</v>
      </c>
      <c r="L6" s="130" t="s">
        <v>201</v>
      </c>
      <c r="M6" s="130"/>
      <c r="N6" s="130"/>
      <c r="O6" s="130"/>
      <c r="P6" s="47">
        <f>IF(L6&lt;&gt;"",SUM(Q21:Q30),"")</f>
        <v>2796</v>
      </c>
      <c r="Q6" s="91">
        <v>43831</v>
      </c>
      <c r="R6" s="98">
        <v>43831</v>
      </c>
      <c r="T6" s="57"/>
      <c r="U6" s="51"/>
      <c r="V6" s="59"/>
    </row>
    <row r="7" spans="2:22" x14ac:dyDescent="0.25">
      <c r="B7" s="9" t="str">
        <f>IF(C7&lt;&gt;"","1."&amp;2,"")</f>
        <v>1.2</v>
      </c>
      <c r="C7" s="138" t="s">
        <v>192</v>
      </c>
      <c r="D7" s="139"/>
      <c r="E7" s="139"/>
      <c r="F7" s="140"/>
      <c r="G7" s="45">
        <f>IF(C7&lt;&gt;"",SUM('Etap 1'!H34:H43),"")</f>
        <v>2796</v>
      </c>
      <c r="H7" s="91">
        <v>43832</v>
      </c>
      <c r="I7" s="98">
        <v>43832</v>
      </c>
      <c r="K7" s="37" t="str">
        <f>IF(L7&lt;&gt;"","1."&amp; 10-COUNTBLANK(B6:B15)+2,"")</f>
        <v>1.12</v>
      </c>
      <c r="L7" s="130" t="s">
        <v>202</v>
      </c>
      <c r="M7" s="130"/>
      <c r="N7" s="130"/>
      <c r="O7" s="130"/>
      <c r="P7" s="47">
        <f>IF(L7&lt;&gt;"",SUM(Q34:Q43),"")</f>
        <v>2796</v>
      </c>
      <c r="Q7" s="91">
        <v>43832</v>
      </c>
      <c r="R7" s="98">
        <v>43832</v>
      </c>
      <c r="T7" s="57"/>
      <c r="U7" s="51"/>
      <c r="V7" s="59"/>
    </row>
    <row r="8" spans="2:22" x14ac:dyDescent="0.25">
      <c r="B8" s="9" t="str">
        <f>IF(C8&lt;&gt;"","1."&amp;3,"")</f>
        <v>1.3</v>
      </c>
      <c r="C8" s="134" t="s">
        <v>193</v>
      </c>
      <c r="D8" s="134"/>
      <c r="E8" s="134"/>
      <c r="F8" s="134"/>
      <c r="G8" s="45">
        <f>IF(C8&lt;&gt;"",SUM('Etap 1'!H47:H56),"")</f>
        <v>2796</v>
      </c>
      <c r="H8" s="91">
        <v>43833</v>
      </c>
      <c r="I8" s="98">
        <v>43833</v>
      </c>
      <c r="K8" s="37" t="str">
        <f>IF(L8&lt;&gt;"","1."&amp; 10-COUNTBLANK(B6:B15)+3,"")</f>
        <v>1.13</v>
      </c>
      <c r="L8" s="141" t="s">
        <v>203</v>
      </c>
      <c r="M8" s="142"/>
      <c r="N8" s="142"/>
      <c r="O8" s="143"/>
      <c r="P8" s="47">
        <f>IF(L8&lt;&gt;"",SUM(Q47:Q56),"")</f>
        <v>2796</v>
      </c>
      <c r="Q8" s="91">
        <v>43833</v>
      </c>
      <c r="R8" s="98">
        <v>43833</v>
      </c>
      <c r="T8" s="57"/>
      <c r="U8" s="51"/>
      <c r="V8" s="59"/>
    </row>
    <row r="9" spans="2:22" x14ac:dyDescent="0.25">
      <c r="B9" s="9" t="str">
        <f>IF(C9&lt;&gt;"","1."&amp;4,"")</f>
        <v>1.4</v>
      </c>
      <c r="C9" s="138" t="s">
        <v>194</v>
      </c>
      <c r="D9" s="139"/>
      <c r="E9" s="139"/>
      <c r="F9" s="140"/>
      <c r="G9" s="45">
        <f>IF(C9&lt;&gt;"",SUM('Etap 1'!H60:H69),"")</f>
        <v>2796</v>
      </c>
      <c r="H9" s="91">
        <v>43834</v>
      </c>
      <c r="I9" s="98">
        <v>43834</v>
      </c>
      <c r="K9" s="37" t="str">
        <f>IF(L9&lt;&gt;"","1."&amp; 10-COUNTBLANK(B6:B15)+4,"")</f>
        <v>1.14</v>
      </c>
      <c r="L9" s="141" t="s">
        <v>204</v>
      </c>
      <c r="M9" s="142"/>
      <c r="N9" s="142"/>
      <c r="O9" s="143"/>
      <c r="P9" s="47">
        <f>IF(L9&lt;&gt;"",SUM(Q60:Q69),"")</f>
        <v>2796</v>
      </c>
      <c r="Q9" s="91">
        <v>43834</v>
      </c>
      <c r="R9" s="98">
        <v>43834</v>
      </c>
      <c r="T9" s="57"/>
      <c r="U9" s="51"/>
      <c r="V9" s="59"/>
    </row>
    <row r="10" spans="2:22" x14ac:dyDescent="0.25">
      <c r="B10" s="9" t="str">
        <f>IF(C10&lt;&gt;"","1."&amp;5,"")</f>
        <v>1.5</v>
      </c>
      <c r="C10" s="134" t="s">
        <v>195</v>
      </c>
      <c r="D10" s="134"/>
      <c r="E10" s="134"/>
      <c r="F10" s="134"/>
      <c r="G10" s="45">
        <f>IF(C10&lt;&gt;"",SUM('Etap 1'!H73:H82),"")</f>
        <v>2796</v>
      </c>
      <c r="H10" s="91">
        <v>43835</v>
      </c>
      <c r="I10" s="98">
        <v>43835</v>
      </c>
      <c r="K10" s="37" t="str">
        <f>IF(L10&lt;&gt;"","1."&amp; 10-COUNTBLANK(B6:B15)+5,"")</f>
        <v>1.15</v>
      </c>
      <c r="L10" s="141" t="s">
        <v>205</v>
      </c>
      <c r="M10" s="142"/>
      <c r="N10" s="142"/>
      <c r="O10" s="143"/>
      <c r="P10" s="47">
        <f>IF(L10&lt;&gt;"",SUM(Q73:Q82),"")</f>
        <v>2796</v>
      </c>
      <c r="Q10" s="91">
        <v>43835</v>
      </c>
      <c r="R10" s="98">
        <v>43835</v>
      </c>
      <c r="T10" s="57"/>
      <c r="U10" s="51"/>
      <c r="V10" s="59"/>
    </row>
    <row r="11" spans="2:22" x14ac:dyDescent="0.25">
      <c r="B11" s="9" t="str">
        <f>IF(C11&lt;&gt;"","1."&amp;6,"")</f>
        <v>1.6</v>
      </c>
      <c r="C11" s="138" t="s">
        <v>196</v>
      </c>
      <c r="D11" s="139"/>
      <c r="E11" s="139"/>
      <c r="F11" s="140"/>
      <c r="G11" s="45">
        <f>IF(C11&lt;&gt;"",SUM('Etap 1'!H86:H95),"")</f>
        <v>2796</v>
      </c>
      <c r="H11" s="91">
        <v>43836</v>
      </c>
      <c r="I11" s="98">
        <v>43836</v>
      </c>
      <c r="K11" s="37" t="str">
        <f>IF(L11&lt;&gt;"","1."&amp; 10-COUNTBLANK(B6:B15)+6,"")</f>
        <v>1.16</v>
      </c>
      <c r="L11" s="141" t="s">
        <v>206</v>
      </c>
      <c r="M11" s="142"/>
      <c r="N11" s="142"/>
      <c r="O11" s="143"/>
      <c r="P11" s="47">
        <f>IF(L11&lt;&gt;"",SUM(Q86:Q95),"")</f>
        <v>2796</v>
      </c>
      <c r="Q11" s="91">
        <v>43836</v>
      </c>
      <c r="R11" s="98">
        <v>43836</v>
      </c>
      <c r="T11" s="57"/>
      <c r="U11" s="51"/>
      <c r="V11" s="59"/>
    </row>
    <row r="12" spans="2:22" x14ac:dyDescent="0.25">
      <c r="B12" s="9" t="str">
        <f>IF(C12&lt;&gt;"","1."&amp;7,"")</f>
        <v>1.7</v>
      </c>
      <c r="C12" s="134" t="s">
        <v>197</v>
      </c>
      <c r="D12" s="134"/>
      <c r="E12" s="134"/>
      <c r="F12" s="134"/>
      <c r="G12" s="45">
        <f>IF(C12&lt;&gt;"",SUM('Etap 1'!H99:H108),"")</f>
        <v>2796</v>
      </c>
      <c r="H12" s="91">
        <v>43837</v>
      </c>
      <c r="I12" s="98">
        <v>43837</v>
      </c>
      <c r="K12" s="37" t="str">
        <f>IF(L12&lt;&gt;"","1."&amp; 10-COUNTBLANK(B6:B15)+7,"")</f>
        <v>1.17</v>
      </c>
      <c r="L12" s="141" t="s">
        <v>207</v>
      </c>
      <c r="M12" s="142"/>
      <c r="N12" s="142"/>
      <c r="O12" s="143"/>
      <c r="P12" s="47">
        <f>IF(L12&lt;&gt;"",SUM(Q99:Q108),"")</f>
        <v>2796</v>
      </c>
      <c r="Q12" s="91">
        <v>43837</v>
      </c>
      <c r="R12" s="98">
        <v>43837</v>
      </c>
      <c r="T12" s="57"/>
      <c r="U12" s="51"/>
      <c r="V12" s="59"/>
    </row>
    <row r="13" spans="2:22" x14ac:dyDescent="0.25">
      <c r="B13" s="9" t="str">
        <f>IF(C13&lt;&gt;"","1."&amp;8,"")</f>
        <v>1.8</v>
      </c>
      <c r="C13" s="138" t="s">
        <v>198</v>
      </c>
      <c r="D13" s="139"/>
      <c r="E13" s="139"/>
      <c r="F13" s="140"/>
      <c r="G13" s="45">
        <f>IF(C13&lt;&gt;"",SUM('Etap 1'!H112:H121),"")</f>
        <v>2796</v>
      </c>
      <c r="H13" s="91">
        <v>43838</v>
      </c>
      <c r="I13" s="98">
        <v>43838</v>
      </c>
      <c r="K13" s="37" t="str">
        <f>IF(L13&lt;&gt;"","1."&amp; 10-COUNTBLANK(B6:B15)+8,"")</f>
        <v>1.18</v>
      </c>
      <c r="L13" s="141" t="s">
        <v>208</v>
      </c>
      <c r="M13" s="142"/>
      <c r="N13" s="142"/>
      <c r="O13" s="143"/>
      <c r="P13" s="47">
        <f>IF(L13&lt;&gt;"",SUM(Q112:Q121),"")</f>
        <v>2796</v>
      </c>
      <c r="Q13" s="91">
        <v>43838</v>
      </c>
      <c r="R13" s="98">
        <v>43838</v>
      </c>
      <c r="T13" s="57"/>
      <c r="U13" s="51"/>
      <c r="V13" s="59"/>
    </row>
    <row r="14" spans="2:22" x14ac:dyDescent="0.25">
      <c r="B14" s="9" t="str">
        <f>IF(C14&lt;&gt;"","1."&amp;9,"")</f>
        <v>1.9</v>
      </c>
      <c r="C14" s="134" t="s">
        <v>199</v>
      </c>
      <c r="D14" s="134"/>
      <c r="E14" s="134"/>
      <c r="F14" s="134"/>
      <c r="G14" s="45">
        <f>IF(C14&lt;&gt;"",SUM('Etap 1'!H125:H134),"")</f>
        <v>2796</v>
      </c>
      <c r="H14" s="91">
        <v>43839</v>
      </c>
      <c r="I14" s="98">
        <v>43839</v>
      </c>
      <c r="K14" s="37" t="str">
        <f>IF(L14&lt;&gt;"","1."&amp; 10-COUNTBLANK(B6:B15)+9,"")</f>
        <v>1.19</v>
      </c>
      <c r="L14" s="141" t="s">
        <v>209</v>
      </c>
      <c r="M14" s="142"/>
      <c r="N14" s="142"/>
      <c r="O14" s="143"/>
      <c r="P14" s="47">
        <f>IF(L14&lt;&gt;"",SUM(Q125:Q134),"")</f>
        <v>2796</v>
      </c>
      <c r="Q14" s="91">
        <v>43839</v>
      </c>
      <c r="R14" s="98">
        <v>43839</v>
      </c>
      <c r="T14" s="57"/>
      <c r="U14" s="51"/>
      <c r="V14" s="59"/>
    </row>
    <row r="15" spans="2:22" ht="15.75" thickBot="1" x14ac:dyDescent="0.3">
      <c r="B15" s="10" t="str">
        <f>IF(C15&lt;&gt;"","1."&amp;10,"")</f>
        <v>1.10</v>
      </c>
      <c r="C15" s="135" t="s">
        <v>200</v>
      </c>
      <c r="D15" s="136"/>
      <c r="E15" s="136"/>
      <c r="F15" s="137"/>
      <c r="G15" s="48">
        <f>IF(C15&lt;&gt;"",SUM('Etap 1'!H138:H147),"")</f>
        <v>2796</v>
      </c>
      <c r="H15" s="92">
        <v>43840</v>
      </c>
      <c r="I15" s="99">
        <v>43900</v>
      </c>
      <c r="K15" s="38" t="str">
        <f>IF(L15&lt;&gt;"","1."&amp; 10-COUNTBLANK(B6:B15)+10,"")</f>
        <v>1.20</v>
      </c>
      <c r="L15" s="147" t="s">
        <v>210</v>
      </c>
      <c r="M15" s="148"/>
      <c r="N15" s="148"/>
      <c r="O15" s="149"/>
      <c r="P15" s="50">
        <f>IF(L15&lt;&gt;"",SUM(Q138:Q147),"")</f>
        <v>2796</v>
      </c>
      <c r="Q15" s="92">
        <v>43900</v>
      </c>
      <c r="R15" s="99">
        <v>43931</v>
      </c>
      <c r="T15" s="57"/>
      <c r="U15" s="51"/>
      <c r="V15" s="59"/>
    </row>
    <row r="16" spans="2:22" ht="15.75" thickBot="1" x14ac:dyDescent="0.3">
      <c r="T16" s="57"/>
      <c r="U16" s="51"/>
      <c r="V16" s="59"/>
    </row>
    <row r="17" spans="2:22" ht="27" thickBot="1" x14ac:dyDescent="0.45">
      <c r="B17" s="121" t="s">
        <v>29</v>
      </c>
      <c r="C17" s="122"/>
      <c r="D17" s="122"/>
      <c r="E17" s="122"/>
      <c r="F17" s="122"/>
      <c r="G17" s="122"/>
      <c r="H17" s="122"/>
      <c r="I17" s="123"/>
      <c r="K17" s="124" t="s">
        <v>41</v>
      </c>
      <c r="L17" s="125"/>
      <c r="M17" s="125"/>
      <c r="N17" s="125"/>
      <c r="O17" s="125"/>
      <c r="P17" s="125"/>
      <c r="Q17" s="125"/>
      <c r="R17" s="126"/>
    </row>
    <row r="18" spans="2:22" ht="15.75" thickBot="1" x14ac:dyDescent="0.3">
      <c r="T18" s="55" t="s">
        <v>178</v>
      </c>
      <c r="U18" s="54" t="s">
        <v>174</v>
      </c>
      <c r="V18" s="56" t="s">
        <v>165</v>
      </c>
    </row>
    <row r="19" spans="2:22" ht="19.5" thickBot="1" x14ac:dyDescent="0.35">
      <c r="B19" s="118" t="str">
        <f>IF('Etap 1'!$C$6&lt;&gt;"",B6&amp;": "&amp;  'Etap 1'!$C$6,"")</f>
        <v>1.1: Zadanie P1.1</v>
      </c>
      <c r="C19" s="119"/>
      <c r="D19" s="119"/>
      <c r="E19" s="119"/>
      <c r="F19" s="119"/>
      <c r="G19" s="119"/>
      <c r="H19" s="119"/>
      <c r="I19" s="120"/>
      <c r="J19" s="4"/>
      <c r="K19" s="127" t="str">
        <f>IF('Etap 1'!$L$6&lt;&gt;"",K6&amp;": "&amp;  'Etap 1'!$L$6,"")</f>
        <v>1.11: Zadanie T1.1</v>
      </c>
      <c r="L19" s="128"/>
      <c r="M19" s="128"/>
      <c r="N19" s="128"/>
      <c r="O19" s="128"/>
      <c r="P19" s="128"/>
      <c r="Q19" s="128"/>
      <c r="R19" s="129"/>
      <c r="T19" s="57"/>
      <c r="U19" s="51"/>
      <c r="V19" s="59"/>
    </row>
    <row r="20" spans="2:22" ht="15" customHeight="1" x14ac:dyDescent="0.25">
      <c r="B20" s="6" t="s">
        <v>1</v>
      </c>
      <c r="C20" s="7" t="s">
        <v>16</v>
      </c>
      <c r="D20" s="7" t="s">
        <v>3</v>
      </c>
      <c r="E20" s="7" t="s">
        <v>4</v>
      </c>
      <c r="F20" s="7" t="s">
        <v>15</v>
      </c>
      <c r="G20" s="7" t="s">
        <v>5</v>
      </c>
      <c r="H20" s="7" t="s">
        <v>6</v>
      </c>
      <c r="I20" s="8" t="s">
        <v>7</v>
      </c>
      <c r="J20" s="4"/>
      <c r="K20" s="34" t="s">
        <v>1</v>
      </c>
      <c r="L20" s="35" t="s">
        <v>16</v>
      </c>
      <c r="M20" s="35" t="s">
        <v>3</v>
      </c>
      <c r="N20" s="35" t="s">
        <v>4</v>
      </c>
      <c r="O20" s="35" t="s">
        <v>15</v>
      </c>
      <c r="P20" s="35" t="s">
        <v>5</v>
      </c>
      <c r="Q20" s="35" t="s">
        <v>6</v>
      </c>
      <c r="R20" s="36" t="s">
        <v>7</v>
      </c>
      <c r="T20" s="57"/>
      <c r="U20" s="51"/>
      <c r="V20" s="59"/>
    </row>
    <row r="21" spans="2:22" x14ac:dyDescent="0.25">
      <c r="B21" s="41" t="str">
        <f>IF(C21&lt;&gt;"","1.1.1","")</f>
        <v>1.1.1</v>
      </c>
      <c r="C21" s="43" t="s">
        <v>17</v>
      </c>
      <c r="D21" s="43" t="s">
        <v>10</v>
      </c>
      <c r="E21" s="43" t="s">
        <v>19</v>
      </c>
      <c r="F21" s="43">
        <v>5</v>
      </c>
      <c r="G21" s="43">
        <v>50</v>
      </c>
      <c r="H21" s="45">
        <f t="shared" ref="H21:H30" si="0">IF(C21&lt;&gt;"",F21*G21,"")</f>
        <v>250</v>
      </c>
      <c r="I21" s="46" t="s">
        <v>154</v>
      </c>
      <c r="J21" s="5"/>
      <c r="K21" s="37" t="str">
        <f>IF(L21&lt;&gt;"",$K$6&amp;".1","")</f>
        <v>1.11.1</v>
      </c>
      <c r="L21" s="43" t="s">
        <v>17</v>
      </c>
      <c r="M21" s="43" t="s">
        <v>10</v>
      </c>
      <c r="N21" s="43" t="s">
        <v>19</v>
      </c>
      <c r="O21" s="43">
        <v>5</v>
      </c>
      <c r="P21" s="43">
        <v>50</v>
      </c>
      <c r="Q21" s="47">
        <f t="shared" ref="Q21:Q30" si="1">IF(L21&lt;&gt;"",O21*P21,"")</f>
        <v>250</v>
      </c>
      <c r="R21" s="46" t="s">
        <v>154</v>
      </c>
      <c r="T21" s="57"/>
      <c r="U21" s="51"/>
      <c r="V21" s="59"/>
    </row>
    <row r="22" spans="2:22" x14ac:dyDescent="0.25">
      <c r="B22" s="41" t="str">
        <f>IF(C22&lt;&gt;"","1.1.2","")</f>
        <v>1.1.2</v>
      </c>
      <c r="C22" s="43" t="s">
        <v>20</v>
      </c>
      <c r="D22" s="43" t="s">
        <v>11</v>
      </c>
      <c r="E22" s="43" t="s">
        <v>153</v>
      </c>
      <c r="F22" s="43">
        <v>8</v>
      </c>
      <c r="G22" s="43">
        <v>20</v>
      </c>
      <c r="H22" s="45">
        <f t="shared" si="0"/>
        <v>160</v>
      </c>
      <c r="I22" s="46" t="s">
        <v>155</v>
      </c>
      <c r="J22" s="5"/>
      <c r="K22" s="37" t="str">
        <f>IF(L22&lt;&gt;"",$K$6&amp;".2","")</f>
        <v>1.11.2</v>
      </c>
      <c r="L22" s="43" t="s">
        <v>20</v>
      </c>
      <c r="M22" s="43" t="s">
        <v>11</v>
      </c>
      <c r="N22" s="43" t="s">
        <v>13</v>
      </c>
      <c r="O22" s="43">
        <v>8</v>
      </c>
      <c r="P22" s="43">
        <v>20</v>
      </c>
      <c r="Q22" s="47">
        <f t="shared" si="1"/>
        <v>160</v>
      </c>
      <c r="R22" s="46" t="s">
        <v>155</v>
      </c>
      <c r="T22" s="57"/>
      <c r="U22" s="51"/>
      <c r="V22" s="59"/>
    </row>
    <row r="23" spans="2:22" x14ac:dyDescent="0.25">
      <c r="B23" s="41" t="str">
        <f>IF(C23&lt;&gt;"","1.1.3","")</f>
        <v>1.1.3</v>
      </c>
      <c r="C23" s="43" t="s">
        <v>21</v>
      </c>
      <c r="D23" s="43" t="s">
        <v>9</v>
      </c>
      <c r="E23" s="43" t="s">
        <v>19</v>
      </c>
      <c r="F23" s="43">
        <v>5</v>
      </c>
      <c r="G23" s="43">
        <v>8</v>
      </c>
      <c r="H23" s="45">
        <f t="shared" si="0"/>
        <v>40</v>
      </c>
      <c r="I23" s="46" t="s">
        <v>156</v>
      </c>
      <c r="J23" s="5"/>
      <c r="K23" s="37" t="str">
        <f>IF(L23&lt;&gt;"",$K$6&amp;".3","")</f>
        <v>1.11.3</v>
      </c>
      <c r="L23" s="43" t="s">
        <v>21</v>
      </c>
      <c r="M23" s="43" t="s">
        <v>9</v>
      </c>
      <c r="N23" s="43" t="s">
        <v>19</v>
      </c>
      <c r="O23" s="43">
        <v>5</v>
      </c>
      <c r="P23" s="43">
        <v>8</v>
      </c>
      <c r="Q23" s="47">
        <f t="shared" si="1"/>
        <v>40</v>
      </c>
      <c r="R23" s="46" t="s">
        <v>156</v>
      </c>
      <c r="T23" s="57"/>
      <c r="U23" s="51"/>
      <c r="V23" s="59"/>
    </row>
    <row r="24" spans="2:22" x14ac:dyDescent="0.25">
      <c r="B24" s="41" t="str">
        <f>IF(C24&lt;&gt;"","1.1.4","")</f>
        <v>1.1.4</v>
      </c>
      <c r="C24" s="43" t="s">
        <v>22</v>
      </c>
      <c r="D24" s="43" t="s">
        <v>9</v>
      </c>
      <c r="E24" s="43" t="s">
        <v>19</v>
      </c>
      <c r="F24" s="43">
        <v>8</v>
      </c>
      <c r="G24" s="43">
        <v>12</v>
      </c>
      <c r="H24" s="45">
        <f t="shared" si="0"/>
        <v>96</v>
      </c>
      <c r="I24" s="46" t="s">
        <v>157</v>
      </c>
      <c r="J24" s="5"/>
      <c r="K24" s="37" t="str">
        <f>IF(L24&lt;&gt;"",$K$6&amp;".4","")</f>
        <v>1.11.4</v>
      </c>
      <c r="L24" s="43" t="s">
        <v>22</v>
      </c>
      <c r="M24" s="43" t="s">
        <v>9</v>
      </c>
      <c r="N24" s="43" t="s">
        <v>19</v>
      </c>
      <c r="O24" s="43">
        <v>8</v>
      </c>
      <c r="P24" s="43">
        <v>12</v>
      </c>
      <c r="Q24" s="47">
        <f t="shared" si="1"/>
        <v>96</v>
      </c>
      <c r="R24" s="46" t="s">
        <v>157</v>
      </c>
      <c r="T24" s="57"/>
      <c r="U24" s="51"/>
      <c r="V24" s="59"/>
    </row>
    <row r="25" spans="2:22" x14ac:dyDescent="0.25">
      <c r="B25" s="41" t="str">
        <f>IF(C25&lt;&gt;"","1.1.5","")</f>
        <v>1.1.5</v>
      </c>
      <c r="C25" s="43" t="s">
        <v>23</v>
      </c>
      <c r="D25" s="43" t="s">
        <v>9</v>
      </c>
      <c r="E25" s="43" t="s">
        <v>19</v>
      </c>
      <c r="F25" s="43">
        <v>3</v>
      </c>
      <c r="G25" s="43">
        <v>16</v>
      </c>
      <c r="H25" s="45">
        <f t="shared" si="0"/>
        <v>48</v>
      </c>
      <c r="I25" s="46" t="s">
        <v>158</v>
      </c>
      <c r="J25" s="5"/>
      <c r="K25" s="37" t="str">
        <f>IF(L25&lt;&gt;"",$K$6&amp;".5","")</f>
        <v>1.11.5</v>
      </c>
      <c r="L25" s="43" t="s">
        <v>23</v>
      </c>
      <c r="M25" s="43" t="s">
        <v>9</v>
      </c>
      <c r="N25" s="43" t="s">
        <v>19</v>
      </c>
      <c r="O25" s="43">
        <v>3</v>
      </c>
      <c r="P25" s="43">
        <v>16</v>
      </c>
      <c r="Q25" s="47">
        <f t="shared" si="1"/>
        <v>48</v>
      </c>
      <c r="R25" s="46" t="s">
        <v>158</v>
      </c>
      <c r="T25" s="57"/>
      <c r="U25" s="51"/>
      <c r="V25" s="59"/>
    </row>
    <row r="26" spans="2:22" ht="15.75" thickBot="1" x14ac:dyDescent="0.3">
      <c r="B26" s="41" t="str">
        <f>IF(C26&lt;&gt;"","1.1.6","")</f>
        <v>1.1.6</v>
      </c>
      <c r="C26" s="43" t="s">
        <v>24</v>
      </c>
      <c r="D26" s="43" t="s">
        <v>9</v>
      </c>
      <c r="E26" s="43" t="s">
        <v>19</v>
      </c>
      <c r="F26" s="43">
        <v>4</v>
      </c>
      <c r="G26" s="43">
        <v>8</v>
      </c>
      <c r="H26" s="45">
        <f t="shared" si="0"/>
        <v>32</v>
      </c>
      <c r="I26" s="46" t="s">
        <v>159</v>
      </c>
      <c r="J26" s="5"/>
      <c r="K26" s="37" t="str">
        <f>IF(L26&lt;&gt;"",$K$6&amp;".6","")</f>
        <v>1.11.6</v>
      </c>
      <c r="L26" s="43" t="s">
        <v>24</v>
      </c>
      <c r="M26" s="43" t="s">
        <v>9</v>
      </c>
      <c r="N26" s="43" t="s">
        <v>19</v>
      </c>
      <c r="O26" s="43">
        <v>4</v>
      </c>
      <c r="P26" s="43">
        <v>8</v>
      </c>
      <c r="Q26" s="47">
        <f t="shared" si="1"/>
        <v>32</v>
      </c>
      <c r="R26" s="46" t="s">
        <v>159</v>
      </c>
      <c r="T26" s="58"/>
      <c r="U26" s="52"/>
      <c r="V26" s="60"/>
    </row>
    <row r="27" spans="2:22" x14ac:dyDescent="0.25">
      <c r="B27" s="41" t="str">
        <f>IF(C27&lt;&gt;"","1.1.7","")</f>
        <v>1.1.7</v>
      </c>
      <c r="C27" s="43" t="s">
        <v>26</v>
      </c>
      <c r="D27" s="43" t="s">
        <v>9</v>
      </c>
      <c r="E27" s="43" t="s">
        <v>19</v>
      </c>
      <c r="F27" s="43">
        <v>2</v>
      </c>
      <c r="G27" s="43">
        <v>55</v>
      </c>
      <c r="H27" s="45">
        <f t="shared" si="0"/>
        <v>110</v>
      </c>
      <c r="I27" s="46" t="s">
        <v>160</v>
      </c>
      <c r="J27" s="5"/>
      <c r="K27" s="37" t="str">
        <f>IF(L27&lt;&gt;"",$K$6&amp;".7","")</f>
        <v>1.11.7</v>
      </c>
      <c r="L27" s="43" t="s">
        <v>26</v>
      </c>
      <c r="M27" s="43" t="s">
        <v>9</v>
      </c>
      <c r="N27" s="43" t="s">
        <v>19</v>
      </c>
      <c r="O27" s="43">
        <v>2</v>
      </c>
      <c r="P27" s="43">
        <v>55</v>
      </c>
      <c r="Q27" s="47">
        <f t="shared" si="1"/>
        <v>110</v>
      </c>
      <c r="R27" s="46" t="s">
        <v>160</v>
      </c>
    </row>
    <row r="28" spans="2:22" x14ac:dyDescent="0.25">
      <c r="B28" s="41" t="str">
        <f>IF(C28&lt;&gt;"","1.1.8","")</f>
        <v>1.1.8</v>
      </c>
      <c r="C28" s="43" t="s">
        <v>25</v>
      </c>
      <c r="D28" s="43" t="s">
        <v>9</v>
      </c>
      <c r="E28" s="43" t="s">
        <v>19</v>
      </c>
      <c r="F28" s="43">
        <v>6</v>
      </c>
      <c r="G28" s="43">
        <v>80</v>
      </c>
      <c r="H28" s="45">
        <f t="shared" si="0"/>
        <v>480</v>
      </c>
      <c r="I28" s="46" t="s">
        <v>161</v>
      </c>
      <c r="J28" s="5"/>
      <c r="K28" s="37" t="str">
        <f>IF(L28&lt;&gt;"",$K$6&amp;".8","")</f>
        <v>1.11.8</v>
      </c>
      <c r="L28" s="43" t="s">
        <v>25</v>
      </c>
      <c r="M28" s="43" t="s">
        <v>9</v>
      </c>
      <c r="N28" s="43" t="s">
        <v>19</v>
      </c>
      <c r="O28" s="43">
        <v>6</v>
      </c>
      <c r="P28" s="43">
        <v>80</v>
      </c>
      <c r="Q28" s="47">
        <f t="shared" si="1"/>
        <v>480</v>
      </c>
      <c r="R28" s="46" t="s">
        <v>161</v>
      </c>
    </row>
    <row r="29" spans="2:22" x14ac:dyDescent="0.25">
      <c r="B29" s="41" t="str">
        <f>IF(C29&lt;&gt;"","1.1.9","")</f>
        <v>1.1.9</v>
      </c>
      <c r="C29" s="43" t="s">
        <v>27</v>
      </c>
      <c r="D29" s="43" t="s">
        <v>9</v>
      </c>
      <c r="E29" s="43" t="s">
        <v>19</v>
      </c>
      <c r="F29" s="43">
        <v>9</v>
      </c>
      <c r="G29" s="43">
        <v>90</v>
      </c>
      <c r="H29" s="45">
        <f t="shared" si="0"/>
        <v>810</v>
      </c>
      <c r="I29" s="46" t="s">
        <v>162</v>
      </c>
      <c r="J29" s="5"/>
      <c r="K29" s="37" t="str">
        <f>IF(L29&lt;&gt;"",$K$6&amp;".9","")</f>
        <v>1.11.9</v>
      </c>
      <c r="L29" s="43" t="s">
        <v>27</v>
      </c>
      <c r="M29" s="43" t="s">
        <v>9</v>
      </c>
      <c r="N29" s="43" t="s">
        <v>19</v>
      </c>
      <c r="O29" s="43">
        <v>9</v>
      </c>
      <c r="P29" s="43">
        <v>90</v>
      </c>
      <c r="Q29" s="47">
        <f t="shared" si="1"/>
        <v>810</v>
      </c>
      <c r="R29" s="46" t="s">
        <v>162</v>
      </c>
    </row>
    <row r="30" spans="2:22" ht="15.75" thickBot="1" x14ac:dyDescent="0.3">
      <c r="B30" s="42" t="str">
        <f>IF(C30&lt;&gt;"","1.1.10","")</f>
        <v>1.1.10</v>
      </c>
      <c r="C30" s="44" t="s">
        <v>28</v>
      </c>
      <c r="D30" s="44" t="s">
        <v>9</v>
      </c>
      <c r="E30" s="44" t="s">
        <v>19</v>
      </c>
      <c r="F30" s="44">
        <v>7</v>
      </c>
      <c r="G30" s="44">
        <v>110</v>
      </c>
      <c r="H30" s="48">
        <f t="shared" si="0"/>
        <v>770</v>
      </c>
      <c r="I30" s="49" t="s">
        <v>163</v>
      </c>
      <c r="J30" s="5"/>
      <c r="K30" s="37" t="str">
        <f>IF(L30&lt;&gt;"",$K$6&amp;".10","")</f>
        <v>1.11.10</v>
      </c>
      <c r="L30" s="44" t="s">
        <v>28</v>
      </c>
      <c r="M30" s="44" t="s">
        <v>9</v>
      </c>
      <c r="N30" s="44" t="s">
        <v>19</v>
      </c>
      <c r="O30" s="44">
        <v>7</v>
      </c>
      <c r="P30" s="44">
        <v>110</v>
      </c>
      <c r="Q30" s="50">
        <f t="shared" si="1"/>
        <v>770</v>
      </c>
      <c r="R30" s="49" t="s">
        <v>163</v>
      </c>
    </row>
    <row r="31" spans="2:22" ht="15.75" thickBot="1" x14ac:dyDescent="0.3">
      <c r="B31" s="5"/>
      <c r="C31" s="5"/>
      <c r="D31" s="5"/>
      <c r="E31" s="5"/>
      <c r="F31" s="5"/>
      <c r="G31" s="5"/>
      <c r="H31" s="5"/>
      <c r="I31" s="5"/>
      <c r="J31" s="5"/>
      <c r="K31" s="5"/>
      <c r="L31" s="5"/>
      <c r="M31" s="5"/>
      <c r="N31" s="5"/>
      <c r="O31" s="5"/>
      <c r="P31" s="5"/>
      <c r="Q31" s="5"/>
      <c r="R31" s="5"/>
    </row>
    <row r="32" spans="2:22" ht="19.5" thickBot="1" x14ac:dyDescent="0.35">
      <c r="B32" s="131" t="str">
        <f>IF('Etap 1'!$C$7&lt;&gt;"", B7&amp;": "&amp;  'Etap 1'!$C$7,"")</f>
        <v>1.2: Zadanie P1.2</v>
      </c>
      <c r="C32" s="132"/>
      <c r="D32" s="132"/>
      <c r="E32" s="132"/>
      <c r="F32" s="132"/>
      <c r="G32" s="132"/>
      <c r="H32" s="132"/>
      <c r="I32" s="133"/>
      <c r="J32" s="5"/>
      <c r="K32" s="127" t="str">
        <f>IF('Etap 1'!$L$7&lt;&gt;"",K7&amp;": "&amp;  'Etap 1'!$L$7,"")</f>
        <v>1.12: Zadanie T1.2</v>
      </c>
      <c r="L32" s="128"/>
      <c r="M32" s="128"/>
      <c r="N32" s="128"/>
      <c r="O32" s="128"/>
      <c r="P32" s="128"/>
      <c r="Q32" s="128"/>
      <c r="R32" s="129"/>
      <c r="T32" s="112" t="s">
        <v>166</v>
      </c>
      <c r="U32" s="113"/>
      <c r="V32" s="114"/>
    </row>
    <row r="33" spans="2:22" x14ac:dyDescent="0.25">
      <c r="B33" s="6" t="s">
        <v>1</v>
      </c>
      <c r="C33" s="7" t="s">
        <v>16</v>
      </c>
      <c r="D33" s="7" t="s">
        <v>3</v>
      </c>
      <c r="E33" s="7" t="s">
        <v>4</v>
      </c>
      <c r="F33" s="7" t="s">
        <v>15</v>
      </c>
      <c r="G33" s="7" t="s">
        <v>5</v>
      </c>
      <c r="H33" s="7" t="s">
        <v>6</v>
      </c>
      <c r="I33" s="8" t="s">
        <v>7</v>
      </c>
      <c r="J33" s="5"/>
      <c r="K33" s="34" t="s">
        <v>1</v>
      </c>
      <c r="L33" s="35" t="s">
        <v>16</v>
      </c>
      <c r="M33" s="35" t="s">
        <v>3</v>
      </c>
      <c r="N33" s="35" t="s">
        <v>4</v>
      </c>
      <c r="O33" s="35" t="s">
        <v>15</v>
      </c>
      <c r="P33" s="35" t="s">
        <v>5</v>
      </c>
      <c r="Q33" s="35" t="s">
        <v>6</v>
      </c>
      <c r="R33" s="36" t="s">
        <v>7</v>
      </c>
      <c r="T33" s="55" t="s">
        <v>167</v>
      </c>
      <c r="U33" s="54" t="s">
        <v>168</v>
      </c>
      <c r="V33" s="56" t="s">
        <v>169</v>
      </c>
    </row>
    <row r="34" spans="2:22" x14ac:dyDescent="0.25">
      <c r="B34" s="9" t="str">
        <f>IF(C34&lt;&gt;"","1.2.1","")</f>
        <v>1.2.1</v>
      </c>
      <c r="C34" s="43" t="s">
        <v>17</v>
      </c>
      <c r="D34" s="43" t="s">
        <v>10</v>
      </c>
      <c r="E34" s="43" t="s">
        <v>19</v>
      </c>
      <c r="F34" s="43">
        <v>5</v>
      </c>
      <c r="G34" s="43">
        <v>50</v>
      </c>
      <c r="H34" s="45">
        <f t="shared" ref="H34:H43" si="2">IF(C34&lt;&gt;"",F34*G34,"")</f>
        <v>250</v>
      </c>
      <c r="I34" s="46" t="s">
        <v>154</v>
      </c>
      <c r="J34" s="5"/>
      <c r="K34" s="37" t="str">
        <f>IF(L34&lt;&gt;"",$K$7&amp;".1","")</f>
        <v>1.12.1</v>
      </c>
      <c r="L34" s="43" t="s">
        <v>17</v>
      </c>
      <c r="M34" s="43" t="s">
        <v>10</v>
      </c>
      <c r="N34" s="43" t="s">
        <v>19</v>
      </c>
      <c r="O34" s="43">
        <v>5</v>
      </c>
      <c r="P34" s="43">
        <v>50</v>
      </c>
      <c r="Q34" s="47">
        <f t="shared" ref="Q34:Q43" si="3">IF(L34&lt;&gt;"",O34*P34,"")</f>
        <v>250</v>
      </c>
      <c r="R34" s="46" t="s">
        <v>154</v>
      </c>
      <c r="T34" s="100"/>
      <c r="U34" s="103"/>
      <c r="V34" s="106"/>
    </row>
    <row r="35" spans="2:22" x14ac:dyDescent="0.25">
      <c r="B35" s="9" t="str">
        <f>IF(C35&lt;&gt;"","1.2.2","")</f>
        <v>1.2.2</v>
      </c>
      <c r="C35" s="43" t="s">
        <v>20</v>
      </c>
      <c r="D35" s="43" t="s">
        <v>11</v>
      </c>
      <c r="E35" s="43" t="s">
        <v>13</v>
      </c>
      <c r="F35" s="43">
        <v>8</v>
      </c>
      <c r="G35" s="43">
        <v>20</v>
      </c>
      <c r="H35" s="45">
        <f t="shared" si="2"/>
        <v>160</v>
      </c>
      <c r="I35" s="46" t="s">
        <v>155</v>
      </c>
      <c r="J35" s="5"/>
      <c r="K35" s="37" t="str">
        <f>IF(L35&lt;&gt;"",$K$7&amp;".2","")</f>
        <v>1.12.2</v>
      </c>
      <c r="L35" s="43" t="s">
        <v>20</v>
      </c>
      <c r="M35" s="43" t="s">
        <v>11</v>
      </c>
      <c r="N35" s="43" t="s">
        <v>13</v>
      </c>
      <c r="O35" s="43">
        <v>8</v>
      </c>
      <c r="P35" s="43">
        <v>20</v>
      </c>
      <c r="Q35" s="47">
        <f t="shared" si="3"/>
        <v>160</v>
      </c>
      <c r="R35" s="46" t="s">
        <v>155</v>
      </c>
      <c r="T35" s="101"/>
      <c r="U35" s="104"/>
      <c r="V35" s="107"/>
    </row>
    <row r="36" spans="2:22" x14ac:dyDescent="0.25">
      <c r="B36" s="9" t="str">
        <f>IF(C36&lt;&gt;"","1.2.3","")</f>
        <v>1.2.3</v>
      </c>
      <c r="C36" s="43" t="s">
        <v>21</v>
      </c>
      <c r="D36" s="43" t="s">
        <v>9</v>
      </c>
      <c r="E36" s="43" t="s">
        <v>19</v>
      </c>
      <c r="F36" s="43">
        <v>5</v>
      </c>
      <c r="G36" s="43">
        <v>8</v>
      </c>
      <c r="H36" s="45">
        <f t="shared" si="2"/>
        <v>40</v>
      </c>
      <c r="I36" s="46" t="s">
        <v>156</v>
      </c>
      <c r="J36" s="5"/>
      <c r="K36" s="37" t="str">
        <f>IF(L36&lt;&gt;"",$K$7&amp;".3","")</f>
        <v>1.12.3</v>
      </c>
      <c r="L36" s="43" t="s">
        <v>21</v>
      </c>
      <c r="M36" s="43" t="s">
        <v>9</v>
      </c>
      <c r="N36" s="43" t="s">
        <v>19</v>
      </c>
      <c r="O36" s="43">
        <v>5</v>
      </c>
      <c r="P36" s="43">
        <v>8</v>
      </c>
      <c r="Q36" s="47">
        <f t="shared" si="3"/>
        <v>40</v>
      </c>
      <c r="R36" s="46" t="s">
        <v>156</v>
      </c>
      <c r="T36" s="109"/>
      <c r="U36" s="110"/>
      <c r="V36" s="111"/>
    </row>
    <row r="37" spans="2:22" x14ac:dyDescent="0.25">
      <c r="B37" s="9" t="str">
        <f>IF(C37&lt;&gt;"","1.2.4","")</f>
        <v>1.2.4</v>
      </c>
      <c r="C37" s="43" t="s">
        <v>22</v>
      </c>
      <c r="D37" s="43" t="s">
        <v>9</v>
      </c>
      <c r="E37" s="43" t="s">
        <v>19</v>
      </c>
      <c r="F37" s="43">
        <v>8</v>
      </c>
      <c r="G37" s="43">
        <v>12</v>
      </c>
      <c r="H37" s="45">
        <f t="shared" si="2"/>
        <v>96</v>
      </c>
      <c r="I37" s="46" t="s">
        <v>157</v>
      </c>
      <c r="J37" s="5"/>
      <c r="K37" s="37" t="str">
        <f>IF(L37&lt;&gt;"",$K$7&amp;".4","")</f>
        <v>1.12.4</v>
      </c>
      <c r="L37" s="43" t="s">
        <v>22</v>
      </c>
      <c r="M37" s="43" t="s">
        <v>9</v>
      </c>
      <c r="N37" s="43" t="s">
        <v>19</v>
      </c>
      <c r="O37" s="43">
        <v>8</v>
      </c>
      <c r="P37" s="43">
        <v>12</v>
      </c>
      <c r="Q37" s="47">
        <f t="shared" si="3"/>
        <v>96</v>
      </c>
      <c r="R37" s="46" t="s">
        <v>157</v>
      </c>
      <c r="T37" s="100"/>
      <c r="U37" s="103"/>
      <c r="V37" s="106"/>
    </row>
    <row r="38" spans="2:22" x14ac:dyDescent="0.25">
      <c r="B38" s="9" t="str">
        <f>IF(C38&lt;&gt;"","1.2.5","")</f>
        <v>1.2.5</v>
      </c>
      <c r="C38" s="43" t="s">
        <v>23</v>
      </c>
      <c r="D38" s="43" t="s">
        <v>9</v>
      </c>
      <c r="E38" s="43" t="s">
        <v>19</v>
      </c>
      <c r="F38" s="43">
        <v>3</v>
      </c>
      <c r="G38" s="43">
        <v>16</v>
      </c>
      <c r="H38" s="45">
        <f t="shared" si="2"/>
        <v>48</v>
      </c>
      <c r="I38" s="46" t="s">
        <v>158</v>
      </c>
      <c r="J38" s="5"/>
      <c r="K38" s="37" t="str">
        <f>IF(L38&lt;&gt;"",$K$7&amp;".5","")</f>
        <v>1.12.5</v>
      </c>
      <c r="L38" s="43" t="s">
        <v>23</v>
      </c>
      <c r="M38" s="43" t="s">
        <v>9</v>
      </c>
      <c r="N38" s="43" t="s">
        <v>19</v>
      </c>
      <c r="O38" s="43">
        <v>3</v>
      </c>
      <c r="P38" s="43">
        <v>16</v>
      </c>
      <c r="Q38" s="47">
        <f t="shared" si="3"/>
        <v>48</v>
      </c>
      <c r="R38" s="46" t="s">
        <v>158</v>
      </c>
      <c r="T38" s="101"/>
      <c r="U38" s="104"/>
      <c r="V38" s="107"/>
    </row>
    <row r="39" spans="2:22" x14ac:dyDescent="0.25">
      <c r="B39" s="9" t="str">
        <f>IF(C39&lt;&gt;"","1.2.6","")</f>
        <v>1.2.6</v>
      </c>
      <c r="C39" s="43" t="s">
        <v>24</v>
      </c>
      <c r="D39" s="43" t="s">
        <v>9</v>
      </c>
      <c r="E39" s="43" t="s">
        <v>19</v>
      </c>
      <c r="F39" s="43">
        <v>4</v>
      </c>
      <c r="G39" s="43">
        <v>8</v>
      </c>
      <c r="H39" s="45">
        <f t="shared" si="2"/>
        <v>32</v>
      </c>
      <c r="I39" s="46" t="s">
        <v>159</v>
      </c>
      <c r="J39" s="5"/>
      <c r="K39" s="37" t="str">
        <f>IF(L39&lt;&gt;"",$K$7&amp;".6","")</f>
        <v>1.12.6</v>
      </c>
      <c r="L39" s="43" t="s">
        <v>24</v>
      </c>
      <c r="M39" s="43" t="s">
        <v>9</v>
      </c>
      <c r="N39" s="43" t="s">
        <v>19</v>
      </c>
      <c r="O39" s="43">
        <v>4</v>
      </c>
      <c r="P39" s="43">
        <v>8</v>
      </c>
      <c r="Q39" s="47">
        <f t="shared" si="3"/>
        <v>32</v>
      </c>
      <c r="R39" s="46" t="s">
        <v>159</v>
      </c>
      <c r="T39" s="109"/>
      <c r="U39" s="110"/>
      <c r="V39" s="111"/>
    </row>
    <row r="40" spans="2:22" x14ac:dyDescent="0.25">
      <c r="B40" s="9" t="str">
        <f>IF(C40&lt;&gt;"","1.2.7","")</f>
        <v>1.2.7</v>
      </c>
      <c r="C40" s="43" t="s">
        <v>26</v>
      </c>
      <c r="D40" s="43" t="s">
        <v>9</v>
      </c>
      <c r="E40" s="43" t="s">
        <v>19</v>
      </c>
      <c r="F40" s="43">
        <v>2</v>
      </c>
      <c r="G40" s="43">
        <v>55</v>
      </c>
      <c r="H40" s="45">
        <f t="shared" si="2"/>
        <v>110</v>
      </c>
      <c r="I40" s="46" t="s">
        <v>160</v>
      </c>
      <c r="J40" s="5"/>
      <c r="K40" s="37" t="str">
        <f>IF(L40&lt;&gt;"",$K$7&amp;".7","")</f>
        <v>1.12.7</v>
      </c>
      <c r="L40" s="43" t="s">
        <v>26</v>
      </c>
      <c r="M40" s="43" t="s">
        <v>9</v>
      </c>
      <c r="N40" s="43" t="s">
        <v>19</v>
      </c>
      <c r="O40" s="43">
        <v>2</v>
      </c>
      <c r="P40" s="43">
        <v>55</v>
      </c>
      <c r="Q40" s="47">
        <f t="shared" si="3"/>
        <v>110</v>
      </c>
      <c r="R40" s="46" t="s">
        <v>160</v>
      </c>
      <c r="T40" s="100"/>
      <c r="U40" s="103"/>
      <c r="V40" s="106"/>
    </row>
    <row r="41" spans="2:22" x14ac:dyDescent="0.25">
      <c r="B41" s="9" t="str">
        <f>IF(C41&lt;&gt;"","1.2.8","")</f>
        <v>1.2.8</v>
      </c>
      <c r="C41" s="43" t="s">
        <v>25</v>
      </c>
      <c r="D41" s="43" t="s">
        <v>9</v>
      </c>
      <c r="E41" s="43" t="s">
        <v>19</v>
      </c>
      <c r="F41" s="43">
        <v>6</v>
      </c>
      <c r="G41" s="43">
        <v>80</v>
      </c>
      <c r="H41" s="45">
        <f t="shared" si="2"/>
        <v>480</v>
      </c>
      <c r="I41" s="46" t="s">
        <v>161</v>
      </c>
      <c r="J41" s="5"/>
      <c r="K41" s="37" t="str">
        <f>IF(L41&lt;&gt;"",$K$7&amp;".8","")</f>
        <v>1.12.8</v>
      </c>
      <c r="L41" s="43" t="s">
        <v>25</v>
      </c>
      <c r="M41" s="43" t="s">
        <v>9</v>
      </c>
      <c r="N41" s="43" t="s">
        <v>19</v>
      </c>
      <c r="O41" s="43">
        <v>6</v>
      </c>
      <c r="P41" s="43">
        <v>80</v>
      </c>
      <c r="Q41" s="47">
        <f t="shared" si="3"/>
        <v>480</v>
      </c>
      <c r="R41" s="46" t="s">
        <v>161</v>
      </c>
      <c r="T41" s="101"/>
      <c r="U41" s="104"/>
      <c r="V41" s="107"/>
    </row>
    <row r="42" spans="2:22" x14ac:dyDescent="0.25">
      <c r="B42" s="9" t="str">
        <f>IF(C42&lt;&gt;"","1.2.9","")</f>
        <v>1.2.9</v>
      </c>
      <c r="C42" s="43" t="s">
        <v>27</v>
      </c>
      <c r="D42" s="43" t="s">
        <v>9</v>
      </c>
      <c r="E42" s="43" t="s">
        <v>19</v>
      </c>
      <c r="F42" s="43">
        <v>9</v>
      </c>
      <c r="G42" s="43">
        <v>90</v>
      </c>
      <c r="H42" s="45">
        <f t="shared" si="2"/>
        <v>810</v>
      </c>
      <c r="I42" s="46" t="s">
        <v>162</v>
      </c>
      <c r="J42" s="5"/>
      <c r="K42" s="37" t="str">
        <f>IF(L42&lt;&gt;"",$K$7&amp;".9","")</f>
        <v>1.12.9</v>
      </c>
      <c r="L42" s="43" t="s">
        <v>27</v>
      </c>
      <c r="M42" s="43" t="s">
        <v>9</v>
      </c>
      <c r="N42" s="43" t="s">
        <v>19</v>
      </c>
      <c r="O42" s="43">
        <v>9</v>
      </c>
      <c r="P42" s="43">
        <v>90</v>
      </c>
      <c r="Q42" s="47">
        <f t="shared" si="3"/>
        <v>810</v>
      </c>
      <c r="R42" s="46" t="s">
        <v>162</v>
      </c>
      <c r="T42" s="109"/>
      <c r="U42" s="110"/>
      <c r="V42" s="111"/>
    </row>
    <row r="43" spans="2:22" ht="15.75" thickBot="1" x14ac:dyDescent="0.3">
      <c r="B43" s="10" t="str">
        <f>IF(C43&lt;&gt;"","1.2.10","")</f>
        <v>1.2.10</v>
      </c>
      <c r="C43" s="44" t="s">
        <v>28</v>
      </c>
      <c r="D43" s="44" t="s">
        <v>9</v>
      </c>
      <c r="E43" s="44" t="s">
        <v>19</v>
      </c>
      <c r="F43" s="44">
        <v>7</v>
      </c>
      <c r="G43" s="44">
        <v>110</v>
      </c>
      <c r="H43" s="48">
        <f t="shared" si="2"/>
        <v>770</v>
      </c>
      <c r="I43" s="49" t="s">
        <v>163</v>
      </c>
      <c r="J43" s="5"/>
      <c r="K43" s="38" t="str">
        <f>IF(L43&lt;&gt;"",$K$7&amp;".10","")</f>
        <v>1.12.10</v>
      </c>
      <c r="L43" s="44" t="s">
        <v>28</v>
      </c>
      <c r="M43" s="44" t="s">
        <v>9</v>
      </c>
      <c r="N43" s="44" t="s">
        <v>19</v>
      </c>
      <c r="O43" s="44">
        <v>7</v>
      </c>
      <c r="P43" s="44">
        <v>110</v>
      </c>
      <c r="Q43" s="50">
        <f t="shared" si="3"/>
        <v>770</v>
      </c>
      <c r="R43" s="49" t="s">
        <v>163</v>
      </c>
      <c r="T43" s="100"/>
      <c r="U43" s="103"/>
      <c r="V43" s="106"/>
    </row>
    <row r="44" spans="2:22" ht="15.75" thickBot="1" x14ac:dyDescent="0.3">
      <c r="B44" s="5"/>
      <c r="C44" s="5"/>
      <c r="D44" s="5"/>
      <c r="E44" s="5"/>
      <c r="F44" s="5"/>
      <c r="G44" s="5"/>
      <c r="H44" s="5"/>
      <c r="I44" s="5"/>
      <c r="J44" s="5"/>
      <c r="K44" s="5"/>
      <c r="L44" s="5"/>
      <c r="M44" s="5"/>
      <c r="N44" s="5"/>
      <c r="O44" s="5"/>
      <c r="P44" s="5"/>
      <c r="Q44" s="5"/>
      <c r="R44" s="5"/>
      <c r="T44" s="101"/>
      <c r="U44" s="104"/>
      <c r="V44" s="107"/>
    </row>
    <row r="45" spans="2:22" ht="19.5" thickBot="1" x14ac:dyDescent="0.35">
      <c r="B45" s="118" t="str">
        <f>IF('Etap 1'!$C$8&lt;&gt;"", B8&amp;": "&amp;  'Etap 1'!$C$8,"")</f>
        <v>1.3: Zadanie P1.3</v>
      </c>
      <c r="C45" s="119"/>
      <c r="D45" s="119"/>
      <c r="E45" s="119"/>
      <c r="F45" s="119"/>
      <c r="G45" s="119"/>
      <c r="H45" s="119"/>
      <c r="I45" s="120"/>
      <c r="J45" s="5"/>
      <c r="K45" s="127" t="str">
        <f>IF('Etap 1'!$L$8&lt;&gt;"",K8&amp;": "&amp;  'Etap 1'!$L$8,"")</f>
        <v>1.13: Zadanie T1.3</v>
      </c>
      <c r="L45" s="128"/>
      <c r="M45" s="128"/>
      <c r="N45" s="128"/>
      <c r="O45" s="128"/>
      <c r="P45" s="128"/>
      <c r="Q45" s="128"/>
      <c r="R45" s="129"/>
      <c r="T45" s="102"/>
      <c r="U45" s="105"/>
      <c r="V45" s="108"/>
    </row>
    <row r="46" spans="2:22" x14ac:dyDescent="0.25">
      <c r="B46" s="6" t="s">
        <v>1</v>
      </c>
      <c r="C46" s="7" t="s">
        <v>16</v>
      </c>
      <c r="D46" s="7" t="s">
        <v>3</v>
      </c>
      <c r="E46" s="7" t="s">
        <v>4</v>
      </c>
      <c r="F46" s="7" t="s">
        <v>15</v>
      </c>
      <c r="G46" s="7" t="s">
        <v>5</v>
      </c>
      <c r="H46" s="7" t="s">
        <v>6</v>
      </c>
      <c r="I46" s="8" t="s">
        <v>7</v>
      </c>
      <c r="J46" s="5"/>
      <c r="K46" s="34" t="s">
        <v>1</v>
      </c>
      <c r="L46" s="35" t="s">
        <v>16</v>
      </c>
      <c r="M46" s="35" t="s">
        <v>3</v>
      </c>
      <c r="N46" s="35" t="s">
        <v>4</v>
      </c>
      <c r="O46" s="35" t="s">
        <v>15</v>
      </c>
      <c r="P46" s="35" t="s">
        <v>5</v>
      </c>
      <c r="Q46" s="35" t="s">
        <v>6</v>
      </c>
      <c r="R46" s="36" t="s">
        <v>7</v>
      </c>
    </row>
    <row r="47" spans="2:22" x14ac:dyDescent="0.25">
      <c r="B47" s="41" t="str">
        <f>IF(C47&lt;&gt;"","1.3.1","")</f>
        <v>1.3.1</v>
      </c>
      <c r="C47" s="43" t="s">
        <v>17</v>
      </c>
      <c r="D47" s="43" t="s">
        <v>10</v>
      </c>
      <c r="E47" s="43" t="s">
        <v>19</v>
      </c>
      <c r="F47" s="43">
        <v>5</v>
      </c>
      <c r="G47" s="43">
        <v>50</v>
      </c>
      <c r="H47" s="45">
        <f t="shared" ref="H47:H56" si="4">IF(C47&lt;&gt;"",F47*G47,"")</f>
        <v>250</v>
      </c>
      <c r="I47" s="46" t="s">
        <v>154</v>
      </c>
      <c r="J47" s="5"/>
      <c r="K47" s="37" t="str">
        <f>IF(L47&lt;&gt;"",$K$8&amp;".1","")</f>
        <v>1.13.1</v>
      </c>
      <c r="L47" s="43" t="s">
        <v>17</v>
      </c>
      <c r="M47" s="43" t="s">
        <v>10</v>
      </c>
      <c r="N47" s="43" t="s">
        <v>19</v>
      </c>
      <c r="O47" s="43">
        <v>5</v>
      </c>
      <c r="P47" s="43">
        <v>50</v>
      </c>
      <c r="Q47" s="47">
        <f t="shared" ref="Q47:Q56" si="5">IF(L47&lt;&gt;"",O47*P47,"")</f>
        <v>250</v>
      </c>
      <c r="R47" s="46" t="s">
        <v>154</v>
      </c>
    </row>
    <row r="48" spans="2:22" x14ac:dyDescent="0.25">
      <c r="B48" s="41" t="str">
        <f>IF(C48&lt;&gt;"","1.3.2","")</f>
        <v>1.3.2</v>
      </c>
      <c r="C48" s="43" t="s">
        <v>20</v>
      </c>
      <c r="D48" s="43" t="s">
        <v>11</v>
      </c>
      <c r="E48" s="43" t="s">
        <v>13</v>
      </c>
      <c r="F48" s="43">
        <v>8</v>
      </c>
      <c r="G48" s="43">
        <v>20</v>
      </c>
      <c r="H48" s="45">
        <f t="shared" si="4"/>
        <v>160</v>
      </c>
      <c r="I48" s="46" t="s">
        <v>155</v>
      </c>
      <c r="J48" s="5"/>
      <c r="K48" s="37" t="str">
        <f>IF(L48&lt;&gt;"",$K$8&amp;".2","")</f>
        <v>1.13.2</v>
      </c>
      <c r="L48" s="43" t="s">
        <v>20</v>
      </c>
      <c r="M48" s="43" t="s">
        <v>11</v>
      </c>
      <c r="N48" s="43" t="s">
        <v>13</v>
      </c>
      <c r="O48" s="43">
        <v>8</v>
      </c>
      <c r="P48" s="43">
        <v>20</v>
      </c>
      <c r="Q48" s="47">
        <f t="shared" si="5"/>
        <v>160</v>
      </c>
      <c r="R48" s="46" t="s">
        <v>155</v>
      </c>
    </row>
    <row r="49" spans="2:18" x14ac:dyDescent="0.25">
      <c r="B49" s="41" t="str">
        <f>IF(C49&lt;&gt;"","1.3.3","")</f>
        <v>1.3.3</v>
      </c>
      <c r="C49" s="43" t="s">
        <v>21</v>
      </c>
      <c r="D49" s="43" t="s">
        <v>9</v>
      </c>
      <c r="E49" s="43" t="s">
        <v>19</v>
      </c>
      <c r="F49" s="43">
        <v>5</v>
      </c>
      <c r="G49" s="43">
        <v>8</v>
      </c>
      <c r="H49" s="45">
        <f t="shared" si="4"/>
        <v>40</v>
      </c>
      <c r="I49" s="46" t="s">
        <v>156</v>
      </c>
      <c r="J49" s="5"/>
      <c r="K49" s="37" t="str">
        <f>IF(L49&lt;&gt;"",$K$8&amp;".3","")</f>
        <v>1.13.3</v>
      </c>
      <c r="L49" s="43" t="s">
        <v>21</v>
      </c>
      <c r="M49" s="43" t="s">
        <v>9</v>
      </c>
      <c r="N49" s="43" t="s">
        <v>19</v>
      </c>
      <c r="O49" s="43">
        <v>5</v>
      </c>
      <c r="P49" s="43">
        <v>8</v>
      </c>
      <c r="Q49" s="47">
        <f t="shared" si="5"/>
        <v>40</v>
      </c>
      <c r="R49" s="46" t="s">
        <v>156</v>
      </c>
    </row>
    <row r="50" spans="2:18" x14ac:dyDescent="0.25">
      <c r="B50" s="41" t="str">
        <f>IF(C50&lt;&gt;"","1.3.4","")</f>
        <v>1.3.4</v>
      </c>
      <c r="C50" s="43" t="s">
        <v>22</v>
      </c>
      <c r="D50" s="43" t="s">
        <v>9</v>
      </c>
      <c r="E50" s="43" t="s">
        <v>19</v>
      </c>
      <c r="F50" s="43">
        <v>8</v>
      </c>
      <c r="G50" s="43">
        <v>12</v>
      </c>
      <c r="H50" s="45">
        <f t="shared" si="4"/>
        <v>96</v>
      </c>
      <c r="I50" s="46" t="s">
        <v>157</v>
      </c>
      <c r="J50" s="5"/>
      <c r="K50" s="37" t="str">
        <f>IF(L50&lt;&gt;"",$K$8&amp;".4","")</f>
        <v>1.13.4</v>
      </c>
      <c r="L50" s="43" t="s">
        <v>22</v>
      </c>
      <c r="M50" s="43" t="s">
        <v>9</v>
      </c>
      <c r="N50" s="43" t="s">
        <v>19</v>
      </c>
      <c r="O50" s="43">
        <v>8</v>
      </c>
      <c r="P50" s="43">
        <v>12</v>
      </c>
      <c r="Q50" s="47">
        <f t="shared" si="5"/>
        <v>96</v>
      </c>
      <c r="R50" s="46" t="s">
        <v>157</v>
      </c>
    </row>
    <row r="51" spans="2:18" x14ac:dyDescent="0.25">
      <c r="B51" s="41" t="str">
        <f>IF(C51&lt;&gt;"","1.3.5","")</f>
        <v>1.3.5</v>
      </c>
      <c r="C51" s="43" t="s">
        <v>23</v>
      </c>
      <c r="D51" s="43" t="s">
        <v>9</v>
      </c>
      <c r="E51" s="43" t="s">
        <v>19</v>
      </c>
      <c r="F51" s="43">
        <v>3</v>
      </c>
      <c r="G51" s="43">
        <v>16</v>
      </c>
      <c r="H51" s="45">
        <f t="shared" si="4"/>
        <v>48</v>
      </c>
      <c r="I51" s="46" t="s">
        <v>158</v>
      </c>
      <c r="J51" s="5"/>
      <c r="K51" s="37" t="str">
        <f>IF(L51&lt;&gt;"",$K$8&amp;".5","")</f>
        <v>1.13.5</v>
      </c>
      <c r="L51" s="43" t="s">
        <v>23</v>
      </c>
      <c r="M51" s="43" t="s">
        <v>9</v>
      </c>
      <c r="N51" s="43" t="s">
        <v>19</v>
      </c>
      <c r="O51" s="43">
        <v>3</v>
      </c>
      <c r="P51" s="43">
        <v>16</v>
      </c>
      <c r="Q51" s="47">
        <f t="shared" si="5"/>
        <v>48</v>
      </c>
      <c r="R51" s="46" t="s">
        <v>158</v>
      </c>
    </row>
    <row r="52" spans="2:18" x14ac:dyDescent="0.25">
      <c r="B52" s="41" t="str">
        <f>IF(C52&lt;&gt;"","1.3.6","")</f>
        <v>1.3.6</v>
      </c>
      <c r="C52" s="43" t="s">
        <v>24</v>
      </c>
      <c r="D52" s="43" t="s">
        <v>9</v>
      </c>
      <c r="E52" s="43" t="s">
        <v>19</v>
      </c>
      <c r="F52" s="43">
        <v>4</v>
      </c>
      <c r="G52" s="43">
        <v>8</v>
      </c>
      <c r="H52" s="45">
        <f t="shared" si="4"/>
        <v>32</v>
      </c>
      <c r="I52" s="46" t="s">
        <v>159</v>
      </c>
      <c r="J52" s="5"/>
      <c r="K52" s="37" t="str">
        <f>IF(L52&lt;&gt;"",$K$8&amp;".6","")</f>
        <v>1.13.6</v>
      </c>
      <c r="L52" s="43" t="s">
        <v>24</v>
      </c>
      <c r="M52" s="43" t="s">
        <v>9</v>
      </c>
      <c r="N52" s="43" t="s">
        <v>19</v>
      </c>
      <c r="O52" s="43">
        <v>4</v>
      </c>
      <c r="P52" s="43">
        <v>8</v>
      </c>
      <c r="Q52" s="47">
        <f t="shared" si="5"/>
        <v>32</v>
      </c>
      <c r="R52" s="46" t="s">
        <v>159</v>
      </c>
    </row>
    <row r="53" spans="2:18" x14ac:dyDescent="0.25">
      <c r="B53" s="41" t="str">
        <f>IF(C53&lt;&gt;"","1.3.7","")</f>
        <v>1.3.7</v>
      </c>
      <c r="C53" s="43" t="s">
        <v>26</v>
      </c>
      <c r="D53" s="43" t="s">
        <v>9</v>
      </c>
      <c r="E53" s="43" t="s">
        <v>19</v>
      </c>
      <c r="F53" s="43">
        <v>2</v>
      </c>
      <c r="G53" s="43">
        <v>55</v>
      </c>
      <c r="H53" s="45">
        <f t="shared" si="4"/>
        <v>110</v>
      </c>
      <c r="I53" s="46" t="s">
        <v>160</v>
      </c>
      <c r="J53" s="5"/>
      <c r="K53" s="37" t="str">
        <f>IF(L53&lt;&gt;"",$K$8&amp;".7","")</f>
        <v>1.13.7</v>
      </c>
      <c r="L53" s="43" t="s">
        <v>26</v>
      </c>
      <c r="M53" s="43" t="s">
        <v>9</v>
      </c>
      <c r="N53" s="43" t="s">
        <v>19</v>
      </c>
      <c r="O53" s="43">
        <v>2</v>
      </c>
      <c r="P53" s="43">
        <v>55</v>
      </c>
      <c r="Q53" s="47">
        <f t="shared" si="5"/>
        <v>110</v>
      </c>
      <c r="R53" s="46" t="s">
        <v>160</v>
      </c>
    </row>
    <row r="54" spans="2:18" x14ac:dyDescent="0.25">
      <c r="B54" s="41" t="str">
        <f>IF(C54&lt;&gt;"","1.3.8","")</f>
        <v>1.3.8</v>
      </c>
      <c r="C54" s="43" t="s">
        <v>25</v>
      </c>
      <c r="D54" s="43" t="s">
        <v>9</v>
      </c>
      <c r="E54" s="43" t="s">
        <v>19</v>
      </c>
      <c r="F54" s="43">
        <v>6</v>
      </c>
      <c r="G54" s="43">
        <v>80</v>
      </c>
      <c r="H54" s="45">
        <f t="shared" si="4"/>
        <v>480</v>
      </c>
      <c r="I54" s="46" t="s">
        <v>161</v>
      </c>
      <c r="J54" s="5"/>
      <c r="K54" s="37" t="str">
        <f>IF(L54&lt;&gt;"",$K$8&amp;".8","")</f>
        <v>1.13.8</v>
      </c>
      <c r="L54" s="43" t="s">
        <v>25</v>
      </c>
      <c r="M54" s="43" t="s">
        <v>9</v>
      </c>
      <c r="N54" s="43" t="s">
        <v>19</v>
      </c>
      <c r="O54" s="43">
        <v>6</v>
      </c>
      <c r="P54" s="43">
        <v>80</v>
      </c>
      <c r="Q54" s="47">
        <f t="shared" si="5"/>
        <v>480</v>
      </c>
      <c r="R54" s="46" t="s">
        <v>161</v>
      </c>
    </row>
    <row r="55" spans="2:18" x14ac:dyDescent="0.25">
      <c r="B55" s="41" t="str">
        <f>IF(C55&lt;&gt;"","1.3.9","")</f>
        <v>1.3.9</v>
      </c>
      <c r="C55" s="43" t="s">
        <v>27</v>
      </c>
      <c r="D55" s="43" t="s">
        <v>9</v>
      </c>
      <c r="E55" s="43" t="s">
        <v>19</v>
      </c>
      <c r="F55" s="43">
        <v>9</v>
      </c>
      <c r="G55" s="43">
        <v>90</v>
      </c>
      <c r="H55" s="45">
        <f t="shared" si="4"/>
        <v>810</v>
      </c>
      <c r="I55" s="46" t="s">
        <v>162</v>
      </c>
      <c r="J55" s="5"/>
      <c r="K55" s="37" t="str">
        <f>IF(L55&lt;&gt;"",$K$8&amp;".9","")</f>
        <v>1.13.9</v>
      </c>
      <c r="L55" s="43" t="s">
        <v>27</v>
      </c>
      <c r="M55" s="43" t="s">
        <v>9</v>
      </c>
      <c r="N55" s="43" t="s">
        <v>19</v>
      </c>
      <c r="O55" s="43">
        <v>9</v>
      </c>
      <c r="P55" s="43">
        <v>90</v>
      </c>
      <c r="Q55" s="47">
        <f t="shared" si="5"/>
        <v>810</v>
      </c>
      <c r="R55" s="46" t="s">
        <v>162</v>
      </c>
    </row>
    <row r="56" spans="2:18" ht="15.75" thickBot="1" x14ac:dyDescent="0.3">
      <c r="B56" s="42" t="str">
        <f>IF(C56&lt;&gt;"","1.3.10","")</f>
        <v>1.3.10</v>
      </c>
      <c r="C56" s="44" t="s">
        <v>28</v>
      </c>
      <c r="D56" s="44" t="s">
        <v>9</v>
      </c>
      <c r="E56" s="44" t="s">
        <v>19</v>
      </c>
      <c r="F56" s="44">
        <v>7</v>
      </c>
      <c r="G56" s="44">
        <v>110</v>
      </c>
      <c r="H56" s="48">
        <f t="shared" si="4"/>
        <v>770</v>
      </c>
      <c r="I56" s="49" t="s">
        <v>163</v>
      </c>
      <c r="J56" s="5"/>
      <c r="K56" s="38" t="str">
        <f>IF(L56&lt;&gt;"",$K$8&amp;".10","")</f>
        <v>1.13.10</v>
      </c>
      <c r="L56" s="44" t="s">
        <v>28</v>
      </c>
      <c r="M56" s="44" t="s">
        <v>9</v>
      </c>
      <c r="N56" s="44" t="s">
        <v>19</v>
      </c>
      <c r="O56" s="44">
        <v>7</v>
      </c>
      <c r="P56" s="44">
        <v>110</v>
      </c>
      <c r="Q56" s="50">
        <f t="shared" si="5"/>
        <v>770</v>
      </c>
      <c r="R56" s="49" t="s">
        <v>163</v>
      </c>
    </row>
    <row r="57" spans="2:18" ht="15.75" thickBot="1" x14ac:dyDescent="0.3">
      <c r="B57" s="5"/>
      <c r="C57" s="5"/>
      <c r="D57" s="5"/>
      <c r="E57" s="5"/>
      <c r="F57" s="5"/>
      <c r="G57" s="5"/>
      <c r="H57" s="5"/>
      <c r="I57" s="5"/>
      <c r="J57" s="5"/>
      <c r="K57" s="5"/>
      <c r="L57" s="5"/>
      <c r="M57" s="5"/>
      <c r="N57" s="5"/>
      <c r="O57" s="5"/>
      <c r="P57" s="5"/>
      <c r="Q57" s="5"/>
      <c r="R57" s="5"/>
    </row>
    <row r="58" spans="2:18" ht="19.5" thickBot="1" x14ac:dyDescent="0.35">
      <c r="B58" s="118" t="str">
        <f>IF('Etap 1'!$C$9&lt;&gt;"",B9&amp;": "&amp;  'Etap 1'!$C$9,"")</f>
        <v>1.4: Zadanie P1.4</v>
      </c>
      <c r="C58" s="119"/>
      <c r="D58" s="119"/>
      <c r="E58" s="119"/>
      <c r="F58" s="119"/>
      <c r="G58" s="119"/>
      <c r="H58" s="119"/>
      <c r="I58" s="120"/>
      <c r="J58" s="5"/>
      <c r="K58" s="127" t="str">
        <f>IF('Etap 1'!$L$9&lt;&gt;"",K9&amp;": "&amp;  'Etap 1'!$L$9,"")</f>
        <v>1.14: Zadanie T1.4</v>
      </c>
      <c r="L58" s="128"/>
      <c r="M58" s="128"/>
      <c r="N58" s="128"/>
      <c r="O58" s="128"/>
      <c r="P58" s="128"/>
      <c r="Q58" s="128"/>
      <c r="R58" s="129"/>
    </row>
    <row r="59" spans="2:18" ht="15.75" customHeight="1" x14ac:dyDescent="0.25">
      <c r="B59" s="6" t="s">
        <v>1</v>
      </c>
      <c r="C59" s="7" t="s">
        <v>16</v>
      </c>
      <c r="D59" s="7" t="s">
        <v>3</v>
      </c>
      <c r="E59" s="7" t="s">
        <v>4</v>
      </c>
      <c r="F59" s="7" t="s">
        <v>15</v>
      </c>
      <c r="G59" s="7" t="s">
        <v>5</v>
      </c>
      <c r="H59" s="7" t="s">
        <v>6</v>
      </c>
      <c r="I59" s="8" t="s">
        <v>7</v>
      </c>
      <c r="J59" s="5"/>
      <c r="K59" s="34" t="s">
        <v>1</v>
      </c>
      <c r="L59" s="35" t="s">
        <v>16</v>
      </c>
      <c r="M59" s="35" t="s">
        <v>3</v>
      </c>
      <c r="N59" s="35" t="s">
        <v>4</v>
      </c>
      <c r="O59" s="35" t="s">
        <v>15</v>
      </c>
      <c r="P59" s="35" t="s">
        <v>5</v>
      </c>
      <c r="Q59" s="35" t="s">
        <v>6</v>
      </c>
      <c r="R59" s="36" t="s">
        <v>7</v>
      </c>
    </row>
    <row r="60" spans="2:18" ht="15.75" customHeight="1" x14ac:dyDescent="0.25">
      <c r="B60" s="41" t="str">
        <f>IF(C60&lt;&gt;"","1.4.1","")</f>
        <v>1.4.1</v>
      </c>
      <c r="C60" s="43" t="s">
        <v>17</v>
      </c>
      <c r="D60" s="43" t="s">
        <v>10</v>
      </c>
      <c r="E60" s="43" t="s">
        <v>19</v>
      </c>
      <c r="F60" s="43">
        <v>5</v>
      </c>
      <c r="G60" s="43">
        <v>50</v>
      </c>
      <c r="H60" s="45">
        <f t="shared" ref="H60:H69" si="6">IF(C60&lt;&gt;"",F60*G60,"")</f>
        <v>250</v>
      </c>
      <c r="I60" s="46" t="s">
        <v>154</v>
      </c>
      <c r="J60" s="5"/>
      <c r="K60" s="37" t="str">
        <f>IF(L60&lt;&gt;"",$K$9&amp;".1","")</f>
        <v>1.14.1</v>
      </c>
      <c r="L60" s="43" t="s">
        <v>17</v>
      </c>
      <c r="M60" s="43" t="s">
        <v>10</v>
      </c>
      <c r="N60" s="43" t="s">
        <v>19</v>
      </c>
      <c r="O60" s="43">
        <v>5</v>
      </c>
      <c r="P60" s="43">
        <v>50</v>
      </c>
      <c r="Q60" s="47">
        <f t="shared" ref="Q60:Q69" si="7">IF(L60&lt;&gt;"",O60*P60,"")</f>
        <v>250</v>
      </c>
      <c r="R60" s="46" t="s">
        <v>154</v>
      </c>
    </row>
    <row r="61" spans="2:18" ht="15.75" customHeight="1" x14ac:dyDescent="0.25">
      <c r="B61" s="41" t="str">
        <f>IF(C61&lt;&gt;"","1.4.2","")</f>
        <v>1.4.2</v>
      </c>
      <c r="C61" s="43" t="s">
        <v>20</v>
      </c>
      <c r="D61" s="43" t="s">
        <v>11</v>
      </c>
      <c r="E61" s="43" t="s">
        <v>13</v>
      </c>
      <c r="F61" s="43">
        <v>8</v>
      </c>
      <c r="G61" s="43">
        <v>20</v>
      </c>
      <c r="H61" s="45">
        <f t="shared" si="6"/>
        <v>160</v>
      </c>
      <c r="I61" s="46" t="s">
        <v>155</v>
      </c>
      <c r="J61" s="5"/>
      <c r="K61" s="37" t="str">
        <f>IF(L61&lt;&gt;"",$K$9&amp;".2","")</f>
        <v>1.14.2</v>
      </c>
      <c r="L61" s="43" t="s">
        <v>20</v>
      </c>
      <c r="M61" s="43" t="s">
        <v>11</v>
      </c>
      <c r="N61" s="43" t="s">
        <v>13</v>
      </c>
      <c r="O61" s="43">
        <v>8</v>
      </c>
      <c r="P61" s="43">
        <v>20</v>
      </c>
      <c r="Q61" s="47">
        <f t="shared" si="7"/>
        <v>160</v>
      </c>
      <c r="R61" s="46" t="s">
        <v>155</v>
      </c>
    </row>
    <row r="62" spans="2:18" ht="15.75" customHeight="1" x14ac:dyDescent="0.25">
      <c r="B62" s="41" t="str">
        <f>IF(C62&lt;&gt;"","1.4.3","")</f>
        <v>1.4.3</v>
      </c>
      <c r="C62" s="43" t="s">
        <v>21</v>
      </c>
      <c r="D62" s="43" t="s">
        <v>9</v>
      </c>
      <c r="E62" s="43" t="s">
        <v>19</v>
      </c>
      <c r="F62" s="43">
        <v>5</v>
      </c>
      <c r="G62" s="43">
        <v>8</v>
      </c>
      <c r="H62" s="45">
        <f t="shared" si="6"/>
        <v>40</v>
      </c>
      <c r="I62" s="46" t="s">
        <v>156</v>
      </c>
      <c r="J62" s="5"/>
      <c r="K62" s="37" t="str">
        <f>IF(L62&lt;&gt;"",$K$9&amp;".3","")</f>
        <v>1.14.3</v>
      </c>
      <c r="L62" s="43" t="s">
        <v>21</v>
      </c>
      <c r="M62" s="43" t="s">
        <v>9</v>
      </c>
      <c r="N62" s="43" t="s">
        <v>19</v>
      </c>
      <c r="O62" s="43">
        <v>5</v>
      </c>
      <c r="P62" s="43">
        <v>8</v>
      </c>
      <c r="Q62" s="47">
        <f t="shared" si="7"/>
        <v>40</v>
      </c>
      <c r="R62" s="46" t="s">
        <v>156</v>
      </c>
    </row>
    <row r="63" spans="2:18" ht="15.75" customHeight="1" x14ac:dyDescent="0.25">
      <c r="B63" s="41" t="str">
        <f>IF(C63&lt;&gt;"","1.4.4","")</f>
        <v>1.4.4</v>
      </c>
      <c r="C63" s="43" t="s">
        <v>22</v>
      </c>
      <c r="D63" s="43" t="s">
        <v>9</v>
      </c>
      <c r="E63" s="43" t="s">
        <v>19</v>
      </c>
      <c r="F63" s="43">
        <v>8</v>
      </c>
      <c r="G63" s="43">
        <v>12</v>
      </c>
      <c r="H63" s="45">
        <f t="shared" si="6"/>
        <v>96</v>
      </c>
      <c r="I63" s="46" t="s">
        <v>157</v>
      </c>
      <c r="J63" s="5"/>
      <c r="K63" s="37" t="str">
        <f>IF(L63&lt;&gt;"",$K$9&amp;".4","")</f>
        <v>1.14.4</v>
      </c>
      <c r="L63" s="43" t="s">
        <v>22</v>
      </c>
      <c r="M63" s="43" t="s">
        <v>9</v>
      </c>
      <c r="N63" s="43" t="s">
        <v>19</v>
      </c>
      <c r="O63" s="43">
        <v>8</v>
      </c>
      <c r="P63" s="43">
        <v>12</v>
      </c>
      <c r="Q63" s="47">
        <f t="shared" si="7"/>
        <v>96</v>
      </c>
      <c r="R63" s="46" t="s">
        <v>157</v>
      </c>
    </row>
    <row r="64" spans="2:18" ht="15.75" customHeight="1" x14ac:dyDescent="0.25">
      <c r="B64" s="41" t="str">
        <f>IF(C64&lt;&gt;"","1.4.5","")</f>
        <v>1.4.5</v>
      </c>
      <c r="C64" s="43" t="s">
        <v>23</v>
      </c>
      <c r="D64" s="43" t="s">
        <v>9</v>
      </c>
      <c r="E64" s="43" t="s">
        <v>19</v>
      </c>
      <c r="F64" s="43">
        <v>3</v>
      </c>
      <c r="G64" s="43">
        <v>16</v>
      </c>
      <c r="H64" s="45">
        <f t="shared" si="6"/>
        <v>48</v>
      </c>
      <c r="I64" s="46" t="s">
        <v>158</v>
      </c>
      <c r="J64" s="5"/>
      <c r="K64" s="37" t="str">
        <f>IF(L64&lt;&gt;"",$K$9&amp;".5","")</f>
        <v>1.14.5</v>
      </c>
      <c r="L64" s="43" t="s">
        <v>23</v>
      </c>
      <c r="M64" s="43" t="s">
        <v>9</v>
      </c>
      <c r="N64" s="43" t="s">
        <v>19</v>
      </c>
      <c r="O64" s="43">
        <v>3</v>
      </c>
      <c r="P64" s="43">
        <v>16</v>
      </c>
      <c r="Q64" s="47">
        <f t="shared" si="7"/>
        <v>48</v>
      </c>
      <c r="R64" s="46" t="s">
        <v>158</v>
      </c>
    </row>
    <row r="65" spans="2:18" ht="15.75" customHeight="1" x14ac:dyDescent="0.25">
      <c r="B65" s="41" t="str">
        <f>IF(C65&lt;&gt;"","1.4.6","")</f>
        <v>1.4.6</v>
      </c>
      <c r="C65" s="43" t="s">
        <v>24</v>
      </c>
      <c r="D65" s="43" t="s">
        <v>9</v>
      </c>
      <c r="E65" s="43" t="s">
        <v>19</v>
      </c>
      <c r="F65" s="43">
        <v>4</v>
      </c>
      <c r="G65" s="43">
        <v>8</v>
      </c>
      <c r="H65" s="45">
        <f t="shared" si="6"/>
        <v>32</v>
      </c>
      <c r="I65" s="46" t="s">
        <v>159</v>
      </c>
      <c r="J65" s="5"/>
      <c r="K65" s="37" t="str">
        <f>IF(L65&lt;&gt;"",$K$9&amp;".6","")</f>
        <v>1.14.6</v>
      </c>
      <c r="L65" s="43" t="s">
        <v>24</v>
      </c>
      <c r="M65" s="43" t="s">
        <v>9</v>
      </c>
      <c r="N65" s="43" t="s">
        <v>19</v>
      </c>
      <c r="O65" s="43">
        <v>4</v>
      </c>
      <c r="P65" s="43">
        <v>8</v>
      </c>
      <c r="Q65" s="47">
        <f t="shared" si="7"/>
        <v>32</v>
      </c>
      <c r="R65" s="46" t="s">
        <v>159</v>
      </c>
    </row>
    <row r="66" spans="2:18" x14ac:dyDescent="0.25">
      <c r="B66" s="41" t="str">
        <f>IF(C66&lt;&gt;"","1.4.7","")</f>
        <v>1.4.7</v>
      </c>
      <c r="C66" s="43" t="s">
        <v>26</v>
      </c>
      <c r="D66" s="43" t="s">
        <v>9</v>
      </c>
      <c r="E66" s="43" t="s">
        <v>19</v>
      </c>
      <c r="F66" s="43">
        <v>2</v>
      </c>
      <c r="G66" s="43">
        <v>55</v>
      </c>
      <c r="H66" s="45">
        <f t="shared" si="6"/>
        <v>110</v>
      </c>
      <c r="I66" s="46" t="s">
        <v>160</v>
      </c>
      <c r="J66" s="5"/>
      <c r="K66" s="37" t="str">
        <f>IF(L66&lt;&gt;"",$K$9&amp;".7","")</f>
        <v>1.14.7</v>
      </c>
      <c r="L66" s="43" t="s">
        <v>26</v>
      </c>
      <c r="M66" s="43" t="s">
        <v>9</v>
      </c>
      <c r="N66" s="43" t="s">
        <v>19</v>
      </c>
      <c r="O66" s="43">
        <v>2</v>
      </c>
      <c r="P66" s="43">
        <v>55</v>
      </c>
      <c r="Q66" s="47">
        <f t="shared" si="7"/>
        <v>110</v>
      </c>
      <c r="R66" s="46" t="s">
        <v>160</v>
      </c>
    </row>
    <row r="67" spans="2:18" x14ac:dyDescent="0.25">
      <c r="B67" s="41" t="str">
        <f>IF(C67&lt;&gt;"","1.4.8","")</f>
        <v>1.4.8</v>
      </c>
      <c r="C67" s="43" t="s">
        <v>25</v>
      </c>
      <c r="D67" s="43" t="s">
        <v>9</v>
      </c>
      <c r="E67" s="43" t="s">
        <v>19</v>
      </c>
      <c r="F67" s="43">
        <v>6</v>
      </c>
      <c r="G67" s="43">
        <v>80</v>
      </c>
      <c r="H67" s="45">
        <f t="shared" si="6"/>
        <v>480</v>
      </c>
      <c r="I67" s="46" t="s">
        <v>161</v>
      </c>
      <c r="J67" s="5"/>
      <c r="K67" s="37" t="str">
        <f>IF(L67&lt;&gt;"",$K$9&amp;".8","")</f>
        <v>1.14.8</v>
      </c>
      <c r="L67" s="43" t="s">
        <v>25</v>
      </c>
      <c r="M67" s="43" t="s">
        <v>9</v>
      </c>
      <c r="N67" s="43" t="s">
        <v>19</v>
      </c>
      <c r="O67" s="43">
        <v>6</v>
      </c>
      <c r="P67" s="43">
        <v>80</v>
      </c>
      <c r="Q67" s="47">
        <f t="shared" si="7"/>
        <v>480</v>
      </c>
      <c r="R67" s="46" t="s">
        <v>161</v>
      </c>
    </row>
    <row r="68" spans="2:18" x14ac:dyDescent="0.25">
      <c r="B68" s="41" t="str">
        <f>IF(C68&lt;&gt;"","1.4.9","")</f>
        <v>1.4.9</v>
      </c>
      <c r="C68" s="43" t="s">
        <v>27</v>
      </c>
      <c r="D68" s="43" t="s">
        <v>9</v>
      </c>
      <c r="E68" s="43" t="s">
        <v>19</v>
      </c>
      <c r="F68" s="43">
        <v>9</v>
      </c>
      <c r="G68" s="43">
        <v>90</v>
      </c>
      <c r="H68" s="45">
        <f t="shared" si="6"/>
        <v>810</v>
      </c>
      <c r="I68" s="46" t="s">
        <v>162</v>
      </c>
      <c r="J68" s="5"/>
      <c r="K68" s="37" t="str">
        <f>IF(L68&lt;&gt;"",$K$9&amp;".9","")</f>
        <v>1.14.9</v>
      </c>
      <c r="L68" s="43" t="s">
        <v>27</v>
      </c>
      <c r="M68" s="43" t="s">
        <v>9</v>
      </c>
      <c r="N68" s="43" t="s">
        <v>19</v>
      </c>
      <c r="O68" s="43">
        <v>9</v>
      </c>
      <c r="P68" s="43">
        <v>90</v>
      </c>
      <c r="Q68" s="47">
        <f t="shared" si="7"/>
        <v>810</v>
      </c>
      <c r="R68" s="46" t="s">
        <v>162</v>
      </c>
    </row>
    <row r="69" spans="2:18" ht="15.75" thickBot="1" x14ac:dyDescent="0.3">
      <c r="B69" s="42" t="str">
        <f>IF(C69&lt;&gt;"","1.4.10","")</f>
        <v>1.4.10</v>
      </c>
      <c r="C69" s="44" t="s">
        <v>28</v>
      </c>
      <c r="D69" s="44" t="s">
        <v>9</v>
      </c>
      <c r="E69" s="44" t="s">
        <v>19</v>
      </c>
      <c r="F69" s="44">
        <v>7</v>
      </c>
      <c r="G69" s="44">
        <v>110</v>
      </c>
      <c r="H69" s="48">
        <f t="shared" si="6"/>
        <v>770</v>
      </c>
      <c r="I69" s="49" t="s">
        <v>163</v>
      </c>
      <c r="J69" s="5"/>
      <c r="K69" s="38" t="str">
        <f>IF(L69&lt;&gt;"",$K$9&amp;".10","")</f>
        <v>1.14.10</v>
      </c>
      <c r="L69" s="44" t="s">
        <v>28</v>
      </c>
      <c r="M69" s="44" t="s">
        <v>9</v>
      </c>
      <c r="N69" s="44" t="s">
        <v>19</v>
      </c>
      <c r="O69" s="44">
        <v>7</v>
      </c>
      <c r="P69" s="44">
        <v>110</v>
      </c>
      <c r="Q69" s="50">
        <f t="shared" si="7"/>
        <v>770</v>
      </c>
      <c r="R69" s="49" t="s">
        <v>163</v>
      </c>
    </row>
    <row r="70" spans="2:18" ht="15.75" thickBot="1" x14ac:dyDescent="0.3">
      <c r="B70" s="5"/>
      <c r="C70" s="5"/>
      <c r="D70" s="5"/>
      <c r="E70" s="5"/>
      <c r="F70" s="5"/>
      <c r="G70" s="5"/>
      <c r="H70" s="5"/>
      <c r="I70" s="5"/>
      <c r="J70" s="5"/>
      <c r="K70" s="5"/>
      <c r="L70" s="5"/>
      <c r="M70" s="5"/>
      <c r="N70" s="5"/>
      <c r="O70" s="5"/>
      <c r="P70" s="5"/>
      <c r="Q70" s="5"/>
      <c r="R70" s="5"/>
    </row>
    <row r="71" spans="2:18" ht="19.5" thickBot="1" x14ac:dyDescent="0.35">
      <c r="B71" s="118" t="str">
        <f>IF('Etap 1'!$C$10&lt;&gt;"",B10&amp;": "&amp;  'Etap 1'!$C$10,"")</f>
        <v>1.5: Zadanie P1.5</v>
      </c>
      <c r="C71" s="119"/>
      <c r="D71" s="119"/>
      <c r="E71" s="119"/>
      <c r="F71" s="119"/>
      <c r="G71" s="119"/>
      <c r="H71" s="119"/>
      <c r="I71" s="120"/>
      <c r="J71" s="5"/>
      <c r="K71" s="127" t="str">
        <f>IF('Etap 1'!$L$10&lt;&gt;"",K10&amp;": "&amp;  'Etap 1'!$L$10,"")</f>
        <v>1.15: Zadanie T1.5</v>
      </c>
      <c r="L71" s="128"/>
      <c r="M71" s="128"/>
      <c r="N71" s="128"/>
      <c r="O71" s="128"/>
      <c r="P71" s="128"/>
      <c r="Q71" s="128"/>
      <c r="R71" s="129"/>
    </row>
    <row r="72" spans="2:18" x14ac:dyDescent="0.25">
      <c r="B72" s="6" t="s">
        <v>1</v>
      </c>
      <c r="C72" s="7" t="s">
        <v>16</v>
      </c>
      <c r="D72" s="7" t="s">
        <v>3</v>
      </c>
      <c r="E72" s="7" t="s">
        <v>4</v>
      </c>
      <c r="F72" s="7" t="s">
        <v>15</v>
      </c>
      <c r="G72" s="7" t="s">
        <v>5</v>
      </c>
      <c r="H72" s="7" t="s">
        <v>6</v>
      </c>
      <c r="I72" s="8" t="s">
        <v>7</v>
      </c>
      <c r="J72" s="5"/>
      <c r="K72" s="34" t="s">
        <v>1</v>
      </c>
      <c r="L72" s="35" t="s">
        <v>16</v>
      </c>
      <c r="M72" s="35" t="s">
        <v>3</v>
      </c>
      <c r="N72" s="35" t="s">
        <v>4</v>
      </c>
      <c r="O72" s="35" t="s">
        <v>15</v>
      </c>
      <c r="P72" s="35" t="s">
        <v>5</v>
      </c>
      <c r="Q72" s="35" t="s">
        <v>6</v>
      </c>
      <c r="R72" s="36" t="s">
        <v>7</v>
      </c>
    </row>
    <row r="73" spans="2:18" x14ac:dyDescent="0.25">
      <c r="B73" s="41" t="str">
        <f>IF(C73&lt;&gt;"","1.5.1","")</f>
        <v>1.5.1</v>
      </c>
      <c r="C73" s="43" t="s">
        <v>17</v>
      </c>
      <c r="D73" s="43" t="s">
        <v>10</v>
      </c>
      <c r="E73" s="43" t="s">
        <v>19</v>
      </c>
      <c r="F73" s="43">
        <v>5</v>
      </c>
      <c r="G73" s="43">
        <v>50</v>
      </c>
      <c r="H73" s="45">
        <f t="shared" ref="H73:H82" si="8">IF(C73&lt;&gt;"",F73*G73,"")</f>
        <v>250</v>
      </c>
      <c r="I73" s="46" t="s">
        <v>154</v>
      </c>
      <c r="J73" s="5"/>
      <c r="K73" s="37" t="str">
        <f>IF(L73&lt;&gt;"",$K$10&amp;".1","")</f>
        <v>1.15.1</v>
      </c>
      <c r="L73" s="43" t="s">
        <v>17</v>
      </c>
      <c r="M73" s="43" t="s">
        <v>10</v>
      </c>
      <c r="N73" s="43" t="s">
        <v>19</v>
      </c>
      <c r="O73" s="43">
        <v>5</v>
      </c>
      <c r="P73" s="43">
        <v>50</v>
      </c>
      <c r="Q73" s="47">
        <f t="shared" ref="Q73:Q82" si="9">IF(L73&lt;&gt;"",O73*P73,"")</f>
        <v>250</v>
      </c>
      <c r="R73" s="46" t="s">
        <v>154</v>
      </c>
    </row>
    <row r="74" spans="2:18" x14ac:dyDescent="0.25">
      <c r="B74" s="41" t="str">
        <f>IF(C74&lt;&gt;"","1.5.2","")</f>
        <v>1.5.2</v>
      </c>
      <c r="C74" s="43" t="s">
        <v>20</v>
      </c>
      <c r="D74" s="43" t="s">
        <v>11</v>
      </c>
      <c r="E74" s="43" t="s">
        <v>13</v>
      </c>
      <c r="F74" s="43">
        <v>8</v>
      </c>
      <c r="G74" s="43">
        <v>20</v>
      </c>
      <c r="H74" s="45">
        <f t="shared" si="8"/>
        <v>160</v>
      </c>
      <c r="I74" s="46" t="s">
        <v>155</v>
      </c>
      <c r="J74" s="5"/>
      <c r="K74" s="37" t="str">
        <f>IF(L74&lt;&gt;"",$K$10&amp;".2","")</f>
        <v>1.15.2</v>
      </c>
      <c r="L74" s="43" t="s">
        <v>20</v>
      </c>
      <c r="M74" s="43" t="s">
        <v>11</v>
      </c>
      <c r="N74" s="43" t="s">
        <v>13</v>
      </c>
      <c r="O74" s="43">
        <v>8</v>
      </c>
      <c r="P74" s="43">
        <v>20</v>
      </c>
      <c r="Q74" s="47">
        <f t="shared" si="9"/>
        <v>160</v>
      </c>
      <c r="R74" s="46" t="s">
        <v>155</v>
      </c>
    </row>
    <row r="75" spans="2:18" x14ac:dyDescent="0.25">
      <c r="B75" s="41" t="str">
        <f>IF(C75&lt;&gt;"","1.5.3","")</f>
        <v>1.5.3</v>
      </c>
      <c r="C75" s="43" t="s">
        <v>21</v>
      </c>
      <c r="D75" s="43" t="s">
        <v>9</v>
      </c>
      <c r="E75" s="43" t="s">
        <v>19</v>
      </c>
      <c r="F75" s="43">
        <v>5</v>
      </c>
      <c r="G75" s="43">
        <v>8</v>
      </c>
      <c r="H75" s="45">
        <f t="shared" si="8"/>
        <v>40</v>
      </c>
      <c r="I75" s="46" t="s">
        <v>156</v>
      </c>
      <c r="J75" s="5"/>
      <c r="K75" s="37" t="str">
        <f>IF(L75&lt;&gt;"",$K$10&amp;".3","")</f>
        <v>1.15.3</v>
      </c>
      <c r="L75" s="43" t="s">
        <v>21</v>
      </c>
      <c r="M75" s="43" t="s">
        <v>9</v>
      </c>
      <c r="N75" s="43" t="s">
        <v>19</v>
      </c>
      <c r="O75" s="43">
        <v>5</v>
      </c>
      <c r="P75" s="43">
        <v>8</v>
      </c>
      <c r="Q75" s="47">
        <f t="shared" si="9"/>
        <v>40</v>
      </c>
      <c r="R75" s="46" t="s">
        <v>156</v>
      </c>
    </row>
    <row r="76" spans="2:18" x14ac:dyDescent="0.25">
      <c r="B76" s="41" t="str">
        <f>IF(C76&lt;&gt;"","1.5.4","")</f>
        <v>1.5.4</v>
      </c>
      <c r="C76" s="43" t="s">
        <v>22</v>
      </c>
      <c r="D76" s="43" t="s">
        <v>9</v>
      </c>
      <c r="E76" s="43" t="s">
        <v>19</v>
      </c>
      <c r="F76" s="43">
        <v>8</v>
      </c>
      <c r="G76" s="43">
        <v>12</v>
      </c>
      <c r="H76" s="45">
        <f t="shared" si="8"/>
        <v>96</v>
      </c>
      <c r="I76" s="46" t="s">
        <v>157</v>
      </c>
      <c r="J76" s="5"/>
      <c r="K76" s="37" t="str">
        <f>IF(L76&lt;&gt;"",$K$10&amp;".4","")</f>
        <v>1.15.4</v>
      </c>
      <c r="L76" s="43" t="s">
        <v>22</v>
      </c>
      <c r="M76" s="43" t="s">
        <v>9</v>
      </c>
      <c r="N76" s="43" t="s">
        <v>19</v>
      </c>
      <c r="O76" s="43">
        <v>8</v>
      </c>
      <c r="P76" s="43">
        <v>12</v>
      </c>
      <c r="Q76" s="47">
        <f t="shared" si="9"/>
        <v>96</v>
      </c>
      <c r="R76" s="46" t="s">
        <v>157</v>
      </c>
    </row>
    <row r="77" spans="2:18" x14ac:dyDescent="0.25">
      <c r="B77" s="41" t="str">
        <f>IF(C77&lt;&gt;"","1.5.5","")</f>
        <v>1.5.5</v>
      </c>
      <c r="C77" s="43" t="s">
        <v>23</v>
      </c>
      <c r="D77" s="43" t="s">
        <v>9</v>
      </c>
      <c r="E77" s="43" t="s">
        <v>19</v>
      </c>
      <c r="F77" s="43">
        <v>3</v>
      </c>
      <c r="G77" s="43">
        <v>16</v>
      </c>
      <c r="H77" s="45">
        <f t="shared" si="8"/>
        <v>48</v>
      </c>
      <c r="I77" s="46" t="s">
        <v>158</v>
      </c>
      <c r="J77" s="5"/>
      <c r="K77" s="37" t="str">
        <f>IF(L77&lt;&gt;"",$K$10&amp;".5","")</f>
        <v>1.15.5</v>
      </c>
      <c r="L77" s="43" t="s">
        <v>23</v>
      </c>
      <c r="M77" s="43" t="s">
        <v>9</v>
      </c>
      <c r="N77" s="43" t="s">
        <v>19</v>
      </c>
      <c r="O77" s="43">
        <v>3</v>
      </c>
      <c r="P77" s="43">
        <v>16</v>
      </c>
      <c r="Q77" s="47">
        <f t="shared" si="9"/>
        <v>48</v>
      </c>
      <c r="R77" s="46" t="s">
        <v>158</v>
      </c>
    </row>
    <row r="78" spans="2:18" x14ac:dyDescent="0.25">
      <c r="B78" s="41" t="str">
        <f>IF(C78&lt;&gt;"","1.5.6","")</f>
        <v>1.5.6</v>
      </c>
      <c r="C78" s="43" t="s">
        <v>24</v>
      </c>
      <c r="D78" s="43" t="s">
        <v>9</v>
      </c>
      <c r="E78" s="43" t="s">
        <v>19</v>
      </c>
      <c r="F78" s="43">
        <v>4</v>
      </c>
      <c r="G78" s="43">
        <v>8</v>
      </c>
      <c r="H78" s="45">
        <f t="shared" si="8"/>
        <v>32</v>
      </c>
      <c r="I78" s="46" t="s">
        <v>159</v>
      </c>
      <c r="J78" s="5"/>
      <c r="K78" s="37" t="str">
        <f>IF(L78&lt;&gt;"",$K$10&amp;".6","")</f>
        <v>1.15.6</v>
      </c>
      <c r="L78" s="43" t="s">
        <v>24</v>
      </c>
      <c r="M78" s="43" t="s">
        <v>9</v>
      </c>
      <c r="N78" s="43" t="s">
        <v>19</v>
      </c>
      <c r="O78" s="43">
        <v>4</v>
      </c>
      <c r="P78" s="43">
        <v>8</v>
      </c>
      <c r="Q78" s="47">
        <f t="shared" si="9"/>
        <v>32</v>
      </c>
      <c r="R78" s="46" t="s">
        <v>159</v>
      </c>
    </row>
    <row r="79" spans="2:18" x14ac:dyDescent="0.25">
      <c r="B79" s="41" t="str">
        <f>IF(C79&lt;&gt;"","1.5.7","")</f>
        <v>1.5.7</v>
      </c>
      <c r="C79" s="43" t="s">
        <v>26</v>
      </c>
      <c r="D79" s="43" t="s">
        <v>9</v>
      </c>
      <c r="E79" s="43" t="s">
        <v>19</v>
      </c>
      <c r="F79" s="43">
        <v>2</v>
      </c>
      <c r="G79" s="43">
        <v>55</v>
      </c>
      <c r="H79" s="45">
        <f t="shared" si="8"/>
        <v>110</v>
      </c>
      <c r="I79" s="46" t="s">
        <v>160</v>
      </c>
      <c r="J79" s="5"/>
      <c r="K79" s="37" t="str">
        <f>IF(L79&lt;&gt;"",$K$10&amp;".7","")</f>
        <v>1.15.7</v>
      </c>
      <c r="L79" s="43" t="s">
        <v>26</v>
      </c>
      <c r="M79" s="43" t="s">
        <v>9</v>
      </c>
      <c r="N79" s="43" t="s">
        <v>19</v>
      </c>
      <c r="O79" s="43">
        <v>2</v>
      </c>
      <c r="P79" s="43">
        <v>55</v>
      </c>
      <c r="Q79" s="47">
        <f t="shared" si="9"/>
        <v>110</v>
      </c>
      <c r="R79" s="46" t="s">
        <v>160</v>
      </c>
    </row>
    <row r="80" spans="2:18" x14ac:dyDescent="0.25">
      <c r="B80" s="41" t="str">
        <f>IF(C80&lt;&gt;"","1.5.8","")</f>
        <v>1.5.8</v>
      </c>
      <c r="C80" s="43" t="s">
        <v>25</v>
      </c>
      <c r="D80" s="43" t="s">
        <v>9</v>
      </c>
      <c r="E80" s="43" t="s">
        <v>19</v>
      </c>
      <c r="F80" s="43">
        <v>6</v>
      </c>
      <c r="G80" s="43">
        <v>80</v>
      </c>
      <c r="H80" s="45">
        <f t="shared" si="8"/>
        <v>480</v>
      </c>
      <c r="I80" s="46" t="s">
        <v>161</v>
      </c>
      <c r="J80" s="5"/>
      <c r="K80" s="37" t="str">
        <f>IF(L80&lt;&gt;"",$K$10&amp;".8","")</f>
        <v>1.15.8</v>
      </c>
      <c r="L80" s="43" t="s">
        <v>25</v>
      </c>
      <c r="M80" s="43" t="s">
        <v>9</v>
      </c>
      <c r="N80" s="43" t="s">
        <v>19</v>
      </c>
      <c r="O80" s="43">
        <v>6</v>
      </c>
      <c r="P80" s="43">
        <v>80</v>
      </c>
      <c r="Q80" s="47">
        <f t="shared" si="9"/>
        <v>480</v>
      </c>
      <c r="R80" s="46" t="s">
        <v>161</v>
      </c>
    </row>
    <row r="81" spans="2:18" x14ac:dyDescent="0.25">
      <c r="B81" s="41" t="str">
        <f>IF(C81&lt;&gt;"","1.5.9","")</f>
        <v>1.5.9</v>
      </c>
      <c r="C81" s="43" t="s">
        <v>27</v>
      </c>
      <c r="D81" s="43" t="s">
        <v>9</v>
      </c>
      <c r="E81" s="43" t="s">
        <v>19</v>
      </c>
      <c r="F81" s="43">
        <v>9</v>
      </c>
      <c r="G81" s="43">
        <v>90</v>
      </c>
      <c r="H81" s="45">
        <f t="shared" si="8"/>
        <v>810</v>
      </c>
      <c r="I81" s="46" t="s">
        <v>162</v>
      </c>
      <c r="J81" s="5"/>
      <c r="K81" s="37" t="str">
        <f>IF(L81&lt;&gt;"",$K$10&amp;".9","")</f>
        <v>1.15.9</v>
      </c>
      <c r="L81" s="43" t="s">
        <v>27</v>
      </c>
      <c r="M81" s="43" t="s">
        <v>9</v>
      </c>
      <c r="N81" s="43" t="s">
        <v>19</v>
      </c>
      <c r="O81" s="43">
        <v>9</v>
      </c>
      <c r="P81" s="43">
        <v>90</v>
      </c>
      <c r="Q81" s="47">
        <f t="shared" si="9"/>
        <v>810</v>
      </c>
      <c r="R81" s="46" t="s">
        <v>162</v>
      </c>
    </row>
    <row r="82" spans="2:18" ht="15.75" thickBot="1" x14ac:dyDescent="0.3">
      <c r="B82" s="42" t="str">
        <f>IF(C82&lt;&gt;"","1.5.10","")</f>
        <v>1.5.10</v>
      </c>
      <c r="C82" s="44" t="s">
        <v>28</v>
      </c>
      <c r="D82" s="44" t="s">
        <v>9</v>
      </c>
      <c r="E82" s="44" t="s">
        <v>19</v>
      </c>
      <c r="F82" s="44">
        <v>7</v>
      </c>
      <c r="G82" s="44">
        <v>110</v>
      </c>
      <c r="H82" s="48">
        <f t="shared" si="8"/>
        <v>770</v>
      </c>
      <c r="I82" s="49" t="s">
        <v>163</v>
      </c>
      <c r="J82" s="5"/>
      <c r="K82" s="38" t="str">
        <f>IF(L82&lt;&gt;"",$K$10&amp;".10","")</f>
        <v>1.15.10</v>
      </c>
      <c r="L82" s="44" t="s">
        <v>28</v>
      </c>
      <c r="M82" s="44" t="s">
        <v>9</v>
      </c>
      <c r="N82" s="44" t="s">
        <v>19</v>
      </c>
      <c r="O82" s="44">
        <v>7</v>
      </c>
      <c r="P82" s="44">
        <v>110</v>
      </c>
      <c r="Q82" s="50">
        <f t="shared" si="9"/>
        <v>770</v>
      </c>
      <c r="R82" s="49" t="s">
        <v>163</v>
      </c>
    </row>
    <row r="83" spans="2:18" ht="15.75" thickBot="1" x14ac:dyDescent="0.3">
      <c r="B83" s="5"/>
      <c r="C83" s="5"/>
      <c r="D83" s="5"/>
      <c r="E83" s="5"/>
      <c r="F83" s="5"/>
      <c r="G83" s="5"/>
      <c r="H83" s="5"/>
      <c r="I83" s="5"/>
      <c r="J83" s="5"/>
      <c r="K83" s="5"/>
      <c r="L83" s="5"/>
      <c r="M83" s="5"/>
      <c r="N83" s="5"/>
      <c r="O83" s="5"/>
      <c r="P83" s="5"/>
      <c r="Q83" s="5"/>
      <c r="R83" s="5"/>
    </row>
    <row r="84" spans="2:18" ht="19.5" thickBot="1" x14ac:dyDescent="0.35">
      <c r="B84" s="118" t="str">
        <f>IF('Etap 1'!$C$11&lt;&gt;"",B11&amp;": "&amp;  'Etap 1'!$C$11,"")</f>
        <v>1.6: Zadanie P1.6</v>
      </c>
      <c r="C84" s="119"/>
      <c r="D84" s="119"/>
      <c r="E84" s="119"/>
      <c r="F84" s="119"/>
      <c r="G84" s="119"/>
      <c r="H84" s="119"/>
      <c r="I84" s="120"/>
      <c r="J84" s="5"/>
      <c r="K84" s="127" t="str">
        <f>IF('Etap 1'!$L$11&lt;&gt;"",K11&amp;": "&amp;  'Etap 1'!$L$11,"")</f>
        <v>1.16: Zadanie T1.6</v>
      </c>
      <c r="L84" s="128"/>
      <c r="M84" s="128"/>
      <c r="N84" s="128"/>
      <c r="O84" s="128"/>
      <c r="P84" s="128"/>
      <c r="Q84" s="128"/>
      <c r="R84" s="129"/>
    </row>
    <row r="85" spans="2:18" x14ac:dyDescent="0.25">
      <c r="B85" s="6" t="s">
        <v>1</v>
      </c>
      <c r="C85" s="7" t="s">
        <v>16</v>
      </c>
      <c r="D85" s="7" t="s">
        <v>3</v>
      </c>
      <c r="E85" s="7" t="s">
        <v>4</v>
      </c>
      <c r="F85" s="7" t="s">
        <v>15</v>
      </c>
      <c r="G85" s="7" t="s">
        <v>5</v>
      </c>
      <c r="H85" s="7" t="s">
        <v>6</v>
      </c>
      <c r="I85" s="8" t="s">
        <v>7</v>
      </c>
      <c r="J85" s="5"/>
      <c r="K85" s="34" t="s">
        <v>1</v>
      </c>
      <c r="L85" s="35" t="s">
        <v>16</v>
      </c>
      <c r="M85" s="35" t="s">
        <v>3</v>
      </c>
      <c r="N85" s="35" t="s">
        <v>4</v>
      </c>
      <c r="O85" s="35" t="s">
        <v>15</v>
      </c>
      <c r="P85" s="35" t="s">
        <v>5</v>
      </c>
      <c r="Q85" s="35" t="s">
        <v>6</v>
      </c>
      <c r="R85" s="36" t="s">
        <v>7</v>
      </c>
    </row>
    <row r="86" spans="2:18" x14ac:dyDescent="0.25">
      <c r="B86" s="41" t="str">
        <f>IF(C86&lt;&gt;"","1.6.1","")</f>
        <v>1.6.1</v>
      </c>
      <c r="C86" s="43" t="s">
        <v>17</v>
      </c>
      <c r="D86" s="43" t="s">
        <v>10</v>
      </c>
      <c r="E86" s="43" t="s">
        <v>19</v>
      </c>
      <c r="F86" s="43">
        <v>5</v>
      </c>
      <c r="G86" s="43">
        <v>50</v>
      </c>
      <c r="H86" s="45">
        <f t="shared" ref="H86:H95" si="10">IF(C86&lt;&gt;"",F86*G86,"")</f>
        <v>250</v>
      </c>
      <c r="I86" s="46" t="s">
        <v>154</v>
      </c>
      <c r="J86" s="5"/>
      <c r="K86" s="37" t="str">
        <f>IF(L86&lt;&gt;"",$K$11&amp;".1","")</f>
        <v>1.16.1</v>
      </c>
      <c r="L86" s="43" t="s">
        <v>17</v>
      </c>
      <c r="M86" s="43" t="s">
        <v>10</v>
      </c>
      <c r="N86" s="43" t="s">
        <v>19</v>
      </c>
      <c r="O86" s="43">
        <v>5</v>
      </c>
      <c r="P86" s="43">
        <v>50</v>
      </c>
      <c r="Q86" s="47">
        <f t="shared" ref="Q86:Q95" si="11">IF(L86&lt;&gt;"",O86*P86,"")</f>
        <v>250</v>
      </c>
      <c r="R86" s="46" t="s">
        <v>154</v>
      </c>
    </row>
    <row r="87" spans="2:18" x14ac:dyDescent="0.25">
      <c r="B87" s="41" t="str">
        <f>IF(C87&lt;&gt;"","1.6.2","")</f>
        <v>1.6.2</v>
      </c>
      <c r="C87" s="43" t="s">
        <v>20</v>
      </c>
      <c r="D87" s="43" t="s">
        <v>11</v>
      </c>
      <c r="E87" s="43" t="s">
        <v>13</v>
      </c>
      <c r="F87" s="43">
        <v>8</v>
      </c>
      <c r="G87" s="43">
        <v>20</v>
      </c>
      <c r="H87" s="45">
        <f t="shared" si="10"/>
        <v>160</v>
      </c>
      <c r="I87" s="46" t="s">
        <v>155</v>
      </c>
      <c r="J87" s="5"/>
      <c r="K87" s="37" t="str">
        <f>IF(L87&lt;&gt;"",$K$11&amp;".2","")</f>
        <v>1.16.2</v>
      </c>
      <c r="L87" s="43" t="s">
        <v>20</v>
      </c>
      <c r="M87" s="43" t="s">
        <v>11</v>
      </c>
      <c r="N87" s="43" t="s">
        <v>13</v>
      </c>
      <c r="O87" s="43">
        <v>8</v>
      </c>
      <c r="P87" s="43">
        <v>20</v>
      </c>
      <c r="Q87" s="47">
        <f t="shared" si="11"/>
        <v>160</v>
      </c>
      <c r="R87" s="46" t="s">
        <v>155</v>
      </c>
    </row>
    <row r="88" spans="2:18" x14ac:dyDescent="0.25">
      <c r="B88" s="41" t="str">
        <f>IF(C88&lt;&gt;"","1.6.3","")</f>
        <v>1.6.3</v>
      </c>
      <c r="C88" s="43" t="s">
        <v>21</v>
      </c>
      <c r="D88" s="43" t="s">
        <v>9</v>
      </c>
      <c r="E88" s="43" t="s">
        <v>19</v>
      </c>
      <c r="F88" s="43">
        <v>5</v>
      </c>
      <c r="G88" s="43">
        <v>8</v>
      </c>
      <c r="H88" s="45">
        <f t="shared" si="10"/>
        <v>40</v>
      </c>
      <c r="I88" s="46" t="s">
        <v>156</v>
      </c>
      <c r="J88" s="5"/>
      <c r="K88" s="37" t="str">
        <f>IF(L88&lt;&gt;"",$K$11&amp;".3","")</f>
        <v>1.16.3</v>
      </c>
      <c r="L88" s="43" t="s">
        <v>21</v>
      </c>
      <c r="M88" s="43" t="s">
        <v>9</v>
      </c>
      <c r="N88" s="43" t="s">
        <v>19</v>
      </c>
      <c r="O88" s="43">
        <v>5</v>
      </c>
      <c r="P88" s="43">
        <v>8</v>
      </c>
      <c r="Q88" s="47">
        <f t="shared" si="11"/>
        <v>40</v>
      </c>
      <c r="R88" s="46" t="s">
        <v>156</v>
      </c>
    </row>
    <row r="89" spans="2:18" x14ac:dyDescent="0.25">
      <c r="B89" s="41" t="str">
        <f>IF(C89&lt;&gt;"","1.6.4","")</f>
        <v>1.6.4</v>
      </c>
      <c r="C89" s="43" t="s">
        <v>22</v>
      </c>
      <c r="D89" s="43" t="s">
        <v>9</v>
      </c>
      <c r="E89" s="43" t="s">
        <v>19</v>
      </c>
      <c r="F89" s="43">
        <v>8</v>
      </c>
      <c r="G89" s="43">
        <v>12</v>
      </c>
      <c r="H89" s="45">
        <f t="shared" si="10"/>
        <v>96</v>
      </c>
      <c r="I89" s="46" t="s">
        <v>157</v>
      </c>
      <c r="J89" s="5"/>
      <c r="K89" s="37" t="str">
        <f>IF(L89&lt;&gt;"",$K$11&amp;".4","")</f>
        <v>1.16.4</v>
      </c>
      <c r="L89" s="43" t="s">
        <v>22</v>
      </c>
      <c r="M89" s="43" t="s">
        <v>9</v>
      </c>
      <c r="N89" s="43" t="s">
        <v>19</v>
      </c>
      <c r="O89" s="43">
        <v>8</v>
      </c>
      <c r="P89" s="43">
        <v>12</v>
      </c>
      <c r="Q89" s="47">
        <f t="shared" si="11"/>
        <v>96</v>
      </c>
      <c r="R89" s="46" t="s">
        <v>157</v>
      </c>
    </row>
    <row r="90" spans="2:18" x14ac:dyDescent="0.25">
      <c r="B90" s="41" t="str">
        <f>IF(C90&lt;&gt;"","1.6.5","")</f>
        <v>1.6.5</v>
      </c>
      <c r="C90" s="43" t="s">
        <v>23</v>
      </c>
      <c r="D90" s="43" t="s">
        <v>9</v>
      </c>
      <c r="E90" s="43" t="s">
        <v>19</v>
      </c>
      <c r="F90" s="43">
        <v>3</v>
      </c>
      <c r="G90" s="43">
        <v>16</v>
      </c>
      <c r="H90" s="45">
        <f t="shared" si="10"/>
        <v>48</v>
      </c>
      <c r="I90" s="46" t="s">
        <v>158</v>
      </c>
      <c r="J90" s="5"/>
      <c r="K90" s="37" t="str">
        <f>IF(L90&lt;&gt;"",$K$11&amp;".5","")</f>
        <v>1.16.5</v>
      </c>
      <c r="L90" s="43" t="s">
        <v>23</v>
      </c>
      <c r="M90" s="43" t="s">
        <v>9</v>
      </c>
      <c r="N90" s="43" t="s">
        <v>19</v>
      </c>
      <c r="O90" s="43">
        <v>3</v>
      </c>
      <c r="P90" s="43">
        <v>16</v>
      </c>
      <c r="Q90" s="47">
        <f t="shared" si="11"/>
        <v>48</v>
      </c>
      <c r="R90" s="46" t="s">
        <v>158</v>
      </c>
    </row>
    <row r="91" spans="2:18" x14ac:dyDescent="0.25">
      <c r="B91" s="41" t="str">
        <f>IF(C91&lt;&gt;"","1.6.6","")</f>
        <v>1.6.6</v>
      </c>
      <c r="C91" s="43" t="s">
        <v>24</v>
      </c>
      <c r="D91" s="43" t="s">
        <v>9</v>
      </c>
      <c r="E91" s="43" t="s">
        <v>19</v>
      </c>
      <c r="F91" s="43">
        <v>4</v>
      </c>
      <c r="G91" s="43">
        <v>8</v>
      </c>
      <c r="H91" s="45">
        <f t="shared" si="10"/>
        <v>32</v>
      </c>
      <c r="I91" s="46" t="s">
        <v>159</v>
      </c>
      <c r="J91" s="5"/>
      <c r="K91" s="37" t="str">
        <f>IF(L91&lt;&gt;"",$K$11&amp;".6","")</f>
        <v>1.16.6</v>
      </c>
      <c r="L91" s="43" t="s">
        <v>24</v>
      </c>
      <c r="M91" s="43" t="s">
        <v>9</v>
      </c>
      <c r="N91" s="43" t="s">
        <v>19</v>
      </c>
      <c r="O91" s="43">
        <v>4</v>
      </c>
      <c r="P91" s="43">
        <v>8</v>
      </c>
      <c r="Q91" s="47">
        <f t="shared" si="11"/>
        <v>32</v>
      </c>
      <c r="R91" s="46" t="s">
        <v>159</v>
      </c>
    </row>
    <row r="92" spans="2:18" x14ac:dyDescent="0.25">
      <c r="B92" s="41" t="str">
        <f>IF(C92&lt;&gt;"","1.6.7","")</f>
        <v>1.6.7</v>
      </c>
      <c r="C92" s="43" t="s">
        <v>26</v>
      </c>
      <c r="D92" s="43" t="s">
        <v>9</v>
      </c>
      <c r="E92" s="43" t="s">
        <v>19</v>
      </c>
      <c r="F92" s="43">
        <v>2</v>
      </c>
      <c r="G92" s="43">
        <v>55</v>
      </c>
      <c r="H92" s="45">
        <f t="shared" si="10"/>
        <v>110</v>
      </c>
      <c r="I92" s="46" t="s">
        <v>160</v>
      </c>
      <c r="J92" s="5"/>
      <c r="K92" s="37" t="str">
        <f>IF(L92&lt;&gt;"",$K$11&amp;".7","")</f>
        <v>1.16.7</v>
      </c>
      <c r="L92" s="43" t="s">
        <v>26</v>
      </c>
      <c r="M92" s="43" t="s">
        <v>9</v>
      </c>
      <c r="N92" s="43" t="s">
        <v>19</v>
      </c>
      <c r="O92" s="43">
        <v>2</v>
      </c>
      <c r="P92" s="43">
        <v>55</v>
      </c>
      <c r="Q92" s="47">
        <f t="shared" si="11"/>
        <v>110</v>
      </c>
      <c r="R92" s="46" t="s">
        <v>160</v>
      </c>
    </row>
    <row r="93" spans="2:18" x14ac:dyDescent="0.25">
      <c r="B93" s="41" t="str">
        <f>IF(C93&lt;&gt;"","1.6.8","")</f>
        <v>1.6.8</v>
      </c>
      <c r="C93" s="43" t="s">
        <v>25</v>
      </c>
      <c r="D93" s="43" t="s">
        <v>9</v>
      </c>
      <c r="E93" s="43" t="s">
        <v>19</v>
      </c>
      <c r="F93" s="43">
        <v>6</v>
      </c>
      <c r="G93" s="43">
        <v>80</v>
      </c>
      <c r="H93" s="45">
        <f t="shared" si="10"/>
        <v>480</v>
      </c>
      <c r="I93" s="46" t="s">
        <v>161</v>
      </c>
      <c r="J93" s="5"/>
      <c r="K93" s="37" t="str">
        <f>IF(L93&lt;&gt;"",$K$11&amp;".8","")</f>
        <v>1.16.8</v>
      </c>
      <c r="L93" s="43" t="s">
        <v>25</v>
      </c>
      <c r="M93" s="43" t="s">
        <v>9</v>
      </c>
      <c r="N93" s="43" t="s">
        <v>19</v>
      </c>
      <c r="O93" s="43">
        <v>6</v>
      </c>
      <c r="P93" s="43">
        <v>80</v>
      </c>
      <c r="Q93" s="47">
        <f t="shared" si="11"/>
        <v>480</v>
      </c>
      <c r="R93" s="46" t="s">
        <v>161</v>
      </c>
    </row>
    <row r="94" spans="2:18" x14ac:dyDescent="0.25">
      <c r="B94" s="41" t="str">
        <f>IF(C94&lt;&gt;"","1.6.9","")</f>
        <v>1.6.9</v>
      </c>
      <c r="C94" s="43" t="s">
        <v>27</v>
      </c>
      <c r="D94" s="43" t="s">
        <v>9</v>
      </c>
      <c r="E94" s="43" t="s">
        <v>19</v>
      </c>
      <c r="F94" s="43">
        <v>9</v>
      </c>
      <c r="G94" s="43">
        <v>90</v>
      </c>
      <c r="H94" s="45">
        <f t="shared" si="10"/>
        <v>810</v>
      </c>
      <c r="I94" s="46" t="s">
        <v>162</v>
      </c>
      <c r="J94" s="5"/>
      <c r="K94" s="37" t="str">
        <f>IF(L94&lt;&gt;"",$K$11&amp;".9","")</f>
        <v>1.16.9</v>
      </c>
      <c r="L94" s="43" t="s">
        <v>27</v>
      </c>
      <c r="M94" s="43" t="s">
        <v>9</v>
      </c>
      <c r="N94" s="43" t="s">
        <v>19</v>
      </c>
      <c r="O94" s="43">
        <v>9</v>
      </c>
      <c r="P94" s="43">
        <v>90</v>
      </c>
      <c r="Q94" s="47">
        <f t="shared" si="11"/>
        <v>810</v>
      </c>
      <c r="R94" s="46" t="s">
        <v>162</v>
      </c>
    </row>
    <row r="95" spans="2:18" ht="15.75" thickBot="1" x14ac:dyDescent="0.3">
      <c r="B95" s="42" t="str">
        <f>IF(C95&lt;&gt;"","1.6.10","")</f>
        <v>1.6.10</v>
      </c>
      <c r="C95" s="44" t="s">
        <v>28</v>
      </c>
      <c r="D95" s="44" t="s">
        <v>9</v>
      </c>
      <c r="E95" s="44" t="s">
        <v>19</v>
      </c>
      <c r="F95" s="44">
        <v>7</v>
      </c>
      <c r="G95" s="44">
        <v>110</v>
      </c>
      <c r="H95" s="48">
        <f t="shared" si="10"/>
        <v>770</v>
      </c>
      <c r="I95" s="49" t="s">
        <v>163</v>
      </c>
      <c r="J95" s="5"/>
      <c r="K95" s="38" t="str">
        <f>IF(L95&lt;&gt;"",$K$11&amp;".10","")</f>
        <v>1.16.10</v>
      </c>
      <c r="L95" s="44" t="s">
        <v>28</v>
      </c>
      <c r="M95" s="44" t="s">
        <v>9</v>
      </c>
      <c r="N95" s="44" t="s">
        <v>19</v>
      </c>
      <c r="O95" s="44">
        <v>7</v>
      </c>
      <c r="P95" s="44">
        <v>110</v>
      </c>
      <c r="Q95" s="50">
        <f t="shared" si="11"/>
        <v>770</v>
      </c>
      <c r="R95" s="49" t="s">
        <v>163</v>
      </c>
    </row>
    <row r="96" spans="2:18" ht="15.75" thickBot="1" x14ac:dyDescent="0.3">
      <c r="B96" s="5"/>
      <c r="C96" s="5"/>
      <c r="D96" s="5"/>
      <c r="E96" s="5"/>
      <c r="F96" s="5"/>
      <c r="G96" s="5"/>
      <c r="H96" s="5"/>
      <c r="I96" s="5"/>
      <c r="J96" s="5"/>
      <c r="K96" s="5"/>
      <c r="L96" s="5"/>
      <c r="M96" s="5"/>
      <c r="N96" s="5"/>
      <c r="O96" s="5"/>
      <c r="P96" s="5"/>
      <c r="Q96" s="5"/>
      <c r="R96" s="5"/>
    </row>
    <row r="97" spans="2:18" ht="19.5" thickBot="1" x14ac:dyDescent="0.35">
      <c r="B97" s="118" t="str">
        <f>IF('Etap 1'!$C$12&lt;&gt;"",B12&amp;": "&amp;  'Etap 1'!$C$12,"")</f>
        <v>1.7: Zadanie P1.7</v>
      </c>
      <c r="C97" s="119"/>
      <c r="D97" s="119"/>
      <c r="E97" s="119"/>
      <c r="F97" s="119"/>
      <c r="G97" s="119"/>
      <c r="H97" s="119"/>
      <c r="I97" s="120"/>
      <c r="J97" s="5"/>
      <c r="K97" s="127" t="str">
        <f>IF('Etap 1'!$L$12&lt;&gt;"",K12&amp;": "&amp;  'Etap 1'!$L$12,"")</f>
        <v>1.17: Zadanie T1.7</v>
      </c>
      <c r="L97" s="128"/>
      <c r="M97" s="128"/>
      <c r="N97" s="128"/>
      <c r="O97" s="128"/>
      <c r="P97" s="128"/>
      <c r="Q97" s="128"/>
      <c r="R97" s="129"/>
    </row>
    <row r="98" spans="2:18" x14ac:dyDescent="0.25">
      <c r="B98" s="6" t="s">
        <v>1</v>
      </c>
      <c r="C98" s="7" t="s">
        <v>16</v>
      </c>
      <c r="D98" s="7" t="s">
        <v>3</v>
      </c>
      <c r="E98" s="7" t="s">
        <v>4</v>
      </c>
      <c r="F98" s="7" t="s">
        <v>15</v>
      </c>
      <c r="G98" s="7" t="s">
        <v>5</v>
      </c>
      <c r="H98" s="7" t="s">
        <v>6</v>
      </c>
      <c r="I98" s="8" t="s">
        <v>7</v>
      </c>
      <c r="J98" s="5"/>
      <c r="K98" s="34" t="s">
        <v>1</v>
      </c>
      <c r="L98" s="35" t="s">
        <v>16</v>
      </c>
      <c r="M98" s="35" t="s">
        <v>3</v>
      </c>
      <c r="N98" s="35" t="s">
        <v>4</v>
      </c>
      <c r="O98" s="35" t="s">
        <v>15</v>
      </c>
      <c r="P98" s="35" t="s">
        <v>5</v>
      </c>
      <c r="Q98" s="35" t="s">
        <v>6</v>
      </c>
      <c r="R98" s="36" t="s">
        <v>7</v>
      </c>
    </row>
    <row r="99" spans="2:18" x14ac:dyDescent="0.25">
      <c r="B99" s="41" t="str">
        <f>IF(C99&lt;&gt;"","1.7.1","")</f>
        <v>1.7.1</v>
      </c>
      <c r="C99" s="43" t="s">
        <v>17</v>
      </c>
      <c r="D99" s="43" t="s">
        <v>10</v>
      </c>
      <c r="E99" s="43" t="s">
        <v>19</v>
      </c>
      <c r="F99" s="43">
        <v>5</v>
      </c>
      <c r="G99" s="43">
        <v>50</v>
      </c>
      <c r="H99" s="45">
        <f t="shared" ref="H99:H108" si="12">IF(C99&lt;&gt;"",F99*G99,"")</f>
        <v>250</v>
      </c>
      <c r="I99" s="46" t="s">
        <v>154</v>
      </c>
      <c r="J99" s="5"/>
      <c r="K99" s="37" t="str">
        <f>IF(L99&lt;&gt;"",$K$12&amp;".1","")</f>
        <v>1.17.1</v>
      </c>
      <c r="L99" s="43" t="s">
        <v>17</v>
      </c>
      <c r="M99" s="43" t="s">
        <v>10</v>
      </c>
      <c r="N99" s="43" t="s">
        <v>19</v>
      </c>
      <c r="O99" s="43">
        <v>5</v>
      </c>
      <c r="P99" s="43">
        <v>50</v>
      </c>
      <c r="Q99" s="47">
        <f t="shared" ref="Q99:Q108" si="13">IF(L99&lt;&gt;"",O99*P99,"")</f>
        <v>250</v>
      </c>
      <c r="R99" s="46" t="s">
        <v>154</v>
      </c>
    </row>
    <row r="100" spans="2:18" x14ac:dyDescent="0.25">
      <c r="B100" s="41" t="str">
        <f>IF(C100&lt;&gt;"","1.7.2","")</f>
        <v>1.7.2</v>
      </c>
      <c r="C100" s="43" t="s">
        <v>20</v>
      </c>
      <c r="D100" s="43" t="s">
        <v>11</v>
      </c>
      <c r="E100" s="43" t="s">
        <v>13</v>
      </c>
      <c r="F100" s="43">
        <v>8</v>
      </c>
      <c r="G100" s="43">
        <v>20</v>
      </c>
      <c r="H100" s="45">
        <f t="shared" si="12"/>
        <v>160</v>
      </c>
      <c r="I100" s="46" t="s">
        <v>155</v>
      </c>
      <c r="J100" s="5"/>
      <c r="K100" s="37" t="str">
        <f>IF(L100&lt;&gt;"",$K$12&amp;".2","")</f>
        <v>1.17.2</v>
      </c>
      <c r="L100" s="43" t="s">
        <v>20</v>
      </c>
      <c r="M100" s="43" t="s">
        <v>11</v>
      </c>
      <c r="N100" s="43" t="s">
        <v>13</v>
      </c>
      <c r="O100" s="43">
        <v>8</v>
      </c>
      <c r="P100" s="43">
        <v>20</v>
      </c>
      <c r="Q100" s="47">
        <f t="shared" si="13"/>
        <v>160</v>
      </c>
      <c r="R100" s="46" t="s">
        <v>155</v>
      </c>
    </row>
    <row r="101" spans="2:18" x14ac:dyDescent="0.25">
      <c r="B101" s="41" t="str">
        <f>IF(C101&lt;&gt;"","1.7.3","")</f>
        <v>1.7.3</v>
      </c>
      <c r="C101" s="43" t="s">
        <v>21</v>
      </c>
      <c r="D101" s="43" t="s">
        <v>9</v>
      </c>
      <c r="E101" s="43" t="s">
        <v>19</v>
      </c>
      <c r="F101" s="43">
        <v>5</v>
      </c>
      <c r="G101" s="43">
        <v>8</v>
      </c>
      <c r="H101" s="45">
        <f t="shared" si="12"/>
        <v>40</v>
      </c>
      <c r="I101" s="46" t="s">
        <v>156</v>
      </c>
      <c r="J101" s="5"/>
      <c r="K101" s="37" t="str">
        <f>IF(L101&lt;&gt;"",$K$12&amp;".3","")</f>
        <v>1.17.3</v>
      </c>
      <c r="L101" s="43" t="s">
        <v>21</v>
      </c>
      <c r="M101" s="43" t="s">
        <v>9</v>
      </c>
      <c r="N101" s="43" t="s">
        <v>19</v>
      </c>
      <c r="O101" s="43">
        <v>5</v>
      </c>
      <c r="P101" s="43">
        <v>8</v>
      </c>
      <c r="Q101" s="47">
        <f t="shared" si="13"/>
        <v>40</v>
      </c>
      <c r="R101" s="46" t="s">
        <v>156</v>
      </c>
    </row>
    <row r="102" spans="2:18" x14ac:dyDescent="0.25">
      <c r="B102" s="41" t="str">
        <f>IF(C102&lt;&gt;"","1.7.4","")</f>
        <v>1.7.4</v>
      </c>
      <c r="C102" s="43" t="s">
        <v>22</v>
      </c>
      <c r="D102" s="43" t="s">
        <v>9</v>
      </c>
      <c r="E102" s="43" t="s">
        <v>19</v>
      </c>
      <c r="F102" s="43">
        <v>8</v>
      </c>
      <c r="G102" s="43">
        <v>12</v>
      </c>
      <c r="H102" s="45">
        <f t="shared" si="12"/>
        <v>96</v>
      </c>
      <c r="I102" s="46" t="s">
        <v>157</v>
      </c>
      <c r="J102" s="5"/>
      <c r="K102" s="37" t="str">
        <f>IF(L102&lt;&gt;"",$K$12&amp;".4","")</f>
        <v>1.17.4</v>
      </c>
      <c r="L102" s="43" t="s">
        <v>22</v>
      </c>
      <c r="M102" s="43" t="s">
        <v>9</v>
      </c>
      <c r="N102" s="43" t="s">
        <v>19</v>
      </c>
      <c r="O102" s="43">
        <v>8</v>
      </c>
      <c r="P102" s="43">
        <v>12</v>
      </c>
      <c r="Q102" s="47">
        <f t="shared" si="13"/>
        <v>96</v>
      </c>
      <c r="R102" s="46" t="s">
        <v>157</v>
      </c>
    </row>
    <row r="103" spans="2:18" x14ac:dyDescent="0.25">
      <c r="B103" s="41" t="str">
        <f>IF(C103&lt;&gt;"","1.7.5","")</f>
        <v>1.7.5</v>
      </c>
      <c r="C103" s="43" t="s">
        <v>23</v>
      </c>
      <c r="D103" s="43" t="s">
        <v>9</v>
      </c>
      <c r="E103" s="43" t="s">
        <v>19</v>
      </c>
      <c r="F103" s="43">
        <v>3</v>
      </c>
      <c r="G103" s="43">
        <v>16</v>
      </c>
      <c r="H103" s="45">
        <f t="shared" si="12"/>
        <v>48</v>
      </c>
      <c r="I103" s="46" t="s">
        <v>158</v>
      </c>
      <c r="J103" s="5"/>
      <c r="K103" s="37" t="str">
        <f>IF(L103&lt;&gt;"",$K$12&amp;".5","")</f>
        <v>1.17.5</v>
      </c>
      <c r="L103" s="43" t="s">
        <v>23</v>
      </c>
      <c r="M103" s="43" t="s">
        <v>9</v>
      </c>
      <c r="N103" s="43" t="s">
        <v>19</v>
      </c>
      <c r="O103" s="43">
        <v>3</v>
      </c>
      <c r="P103" s="43">
        <v>16</v>
      </c>
      <c r="Q103" s="47">
        <f t="shared" si="13"/>
        <v>48</v>
      </c>
      <c r="R103" s="46" t="s">
        <v>158</v>
      </c>
    </row>
    <row r="104" spans="2:18" x14ac:dyDescent="0.25">
      <c r="B104" s="41" t="str">
        <f>IF(C104&lt;&gt;"","1.7.6","")</f>
        <v>1.7.6</v>
      </c>
      <c r="C104" s="43" t="s">
        <v>24</v>
      </c>
      <c r="D104" s="43" t="s">
        <v>9</v>
      </c>
      <c r="E104" s="43" t="s">
        <v>19</v>
      </c>
      <c r="F104" s="43">
        <v>4</v>
      </c>
      <c r="G104" s="43">
        <v>8</v>
      </c>
      <c r="H104" s="45">
        <f t="shared" si="12"/>
        <v>32</v>
      </c>
      <c r="I104" s="46" t="s">
        <v>159</v>
      </c>
      <c r="J104" s="5"/>
      <c r="K104" s="37" t="str">
        <f>IF(L104&lt;&gt;"",$K$12&amp;".6","")</f>
        <v>1.17.6</v>
      </c>
      <c r="L104" s="43" t="s">
        <v>24</v>
      </c>
      <c r="M104" s="43" t="s">
        <v>9</v>
      </c>
      <c r="N104" s="43" t="s">
        <v>19</v>
      </c>
      <c r="O104" s="43">
        <v>4</v>
      </c>
      <c r="P104" s="43">
        <v>8</v>
      </c>
      <c r="Q104" s="47">
        <f t="shared" si="13"/>
        <v>32</v>
      </c>
      <c r="R104" s="46" t="s">
        <v>159</v>
      </c>
    </row>
    <row r="105" spans="2:18" x14ac:dyDescent="0.25">
      <c r="B105" s="41" t="str">
        <f>IF(C105&lt;&gt;"","1.7.7","")</f>
        <v>1.7.7</v>
      </c>
      <c r="C105" s="43" t="s">
        <v>26</v>
      </c>
      <c r="D105" s="43" t="s">
        <v>9</v>
      </c>
      <c r="E105" s="43" t="s">
        <v>19</v>
      </c>
      <c r="F105" s="43">
        <v>2</v>
      </c>
      <c r="G105" s="43">
        <v>55</v>
      </c>
      <c r="H105" s="45">
        <f t="shared" si="12"/>
        <v>110</v>
      </c>
      <c r="I105" s="46" t="s">
        <v>160</v>
      </c>
      <c r="J105" s="5"/>
      <c r="K105" s="37" t="str">
        <f>IF(L105&lt;&gt;"",$K$12&amp;".7","")</f>
        <v>1.17.7</v>
      </c>
      <c r="L105" s="43" t="s">
        <v>26</v>
      </c>
      <c r="M105" s="43" t="s">
        <v>9</v>
      </c>
      <c r="N105" s="43" t="s">
        <v>19</v>
      </c>
      <c r="O105" s="43">
        <v>2</v>
      </c>
      <c r="P105" s="43">
        <v>55</v>
      </c>
      <c r="Q105" s="47">
        <f t="shared" si="13"/>
        <v>110</v>
      </c>
      <c r="R105" s="46" t="s">
        <v>160</v>
      </c>
    </row>
    <row r="106" spans="2:18" x14ac:dyDescent="0.25">
      <c r="B106" s="41" t="str">
        <f>IF(C106&lt;&gt;"","1.7.8","")</f>
        <v>1.7.8</v>
      </c>
      <c r="C106" s="43" t="s">
        <v>25</v>
      </c>
      <c r="D106" s="43" t="s">
        <v>9</v>
      </c>
      <c r="E106" s="43" t="s">
        <v>19</v>
      </c>
      <c r="F106" s="43">
        <v>6</v>
      </c>
      <c r="G106" s="43">
        <v>80</v>
      </c>
      <c r="H106" s="45">
        <f t="shared" si="12"/>
        <v>480</v>
      </c>
      <c r="I106" s="46" t="s">
        <v>161</v>
      </c>
      <c r="J106" s="5"/>
      <c r="K106" s="37" t="str">
        <f>IF(L106&lt;&gt;"",$K$12&amp;".8","")</f>
        <v>1.17.8</v>
      </c>
      <c r="L106" s="43" t="s">
        <v>25</v>
      </c>
      <c r="M106" s="43" t="s">
        <v>9</v>
      </c>
      <c r="N106" s="43" t="s">
        <v>19</v>
      </c>
      <c r="O106" s="43">
        <v>6</v>
      </c>
      <c r="P106" s="43">
        <v>80</v>
      </c>
      <c r="Q106" s="47">
        <f t="shared" si="13"/>
        <v>480</v>
      </c>
      <c r="R106" s="46" t="s">
        <v>161</v>
      </c>
    </row>
    <row r="107" spans="2:18" x14ac:dyDescent="0.25">
      <c r="B107" s="41" t="str">
        <f>IF(C107&lt;&gt;"","1.7.9","")</f>
        <v>1.7.9</v>
      </c>
      <c r="C107" s="43" t="s">
        <v>27</v>
      </c>
      <c r="D107" s="43" t="s">
        <v>9</v>
      </c>
      <c r="E107" s="43" t="s">
        <v>19</v>
      </c>
      <c r="F107" s="43">
        <v>9</v>
      </c>
      <c r="G107" s="43">
        <v>90</v>
      </c>
      <c r="H107" s="45">
        <f t="shared" si="12"/>
        <v>810</v>
      </c>
      <c r="I107" s="46" t="s">
        <v>162</v>
      </c>
      <c r="J107" s="5"/>
      <c r="K107" s="37" t="str">
        <f>IF(L107&lt;&gt;"",$K$12&amp;".9","")</f>
        <v>1.17.9</v>
      </c>
      <c r="L107" s="43" t="s">
        <v>27</v>
      </c>
      <c r="M107" s="43" t="s">
        <v>9</v>
      </c>
      <c r="N107" s="43" t="s">
        <v>19</v>
      </c>
      <c r="O107" s="43">
        <v>9</v>
      </c>
      <c r="P107" s="43">
        <v>90</v>
      </c>
      <c r="Q107" s="47">
        <f t="shared" si="13"/>
        <v>810</v>
      </c>
      <c r="R107" s="46" t="s">
        <v>162</v>
      </c>
    </row>
    <row r="108" spans="2:18" ht="15.75" thickBot="1" x14ac:dyDescent="0.3">
      <c r="B108" s="42" t="str">
        <f>IF(C108&lt;&gt;"","1.7.10","")</f>
        <v>1.7.10</v>
      </c>
      <c r="C108" s="44" t="s">
        <v>28</v>
      </c>
      <c r="D108" s="44" t="s">
        <v>9</v>
      </c>
      <c r="E108" s="44" t="s">
        <v>19</v>
      </c>
      <c r="F108" s="44">
        <v>7</v>
      </c>
      <c r="G108" s="44">
        <v>110</v>
      </c>
      <c r="H108" s="48">
        <f t="shared" si="12"/>
        <v>770</v>
      </c>
      <c r="I108" s="49" t="s">
        <v>163</v>
      </c>
      <c r="J108" s="5"/>
      <c r="K108" s="38" t="str">
        <f>IF(L108&lt;&gt;"",$K$12&amp;".10","")</f>
        <v>1.17.10</v>
      </c>
      <c r="L108" s="44" t="s">
        <v>28</v>
      </c>
      <c r="M108" s="44" t="s">
        <v>9</v>
      </c>
      <c r="N108" s="44" t="s">
        <v>19</v>
      </c>
      <c r="O108" s="44">
        <v>7</v>
      </c>
      <c r="P108" s="44">
        <v>110</v>
      </c>
      <c r="Q108" s="50">
        <f t="shared" si="13"/>
        <v>770</v>
      </c>
      <c r="R108" s="49" t="s">
        <v>163</v>
      </c>
    </row>
    <row r="109" spans="2:18" ht="15.75" thickBot="1" x14ac:dyDescent="0.3">
      <c r="B109" s="5"/>
      <c r="C109" s="5"/>
      <c r="D109" s="5"/>
      <c r="E109" s="5"/>
      <c r="F109" s="5"/>
      <c r="G109" s="5"/>
      <c r="H109" s="5"/>
      <c r="I109" s="5"/>
      <c r="J109" s="5"/>
      <c r="K109" s="5"/>
      <c r="L109" s="5"/>
      <c r="M109" s="5"/>
      <c r="N109" s="5"/>
      <c r="O109" s="5"/>
      <c r="P109" s="5"/>
      <c r="Q109" s="5"/>
      <c r="R109" s="5"/>
    </row>
    <row r="110" spans="2:18" ht="19.5" thickBot="1" x14ac:dyDescent="0.35">
      <c r="B110" s="118" t="str">
        <f>IF('Etap 1'!$C$13&lt;&gt;"", B13&amp;": "&amp;  'Etap 1'!$C$13,"")</f>
        <v>1.8: Zadanie P1.8</v>
      </c>
      <c r="C110" s="119"/>
      <c r="D110" s="119"/>
      <c r="E110" s="119"/>
      <c r="F110" s="119"/>
      <c r="G110" s="119"/>
      <c r="H110" s="119"/>
      <c r="I110" s="120"/>
      <c r="J110" s="5"/>
      <c r="K110" s="127" t="str">
        <f>IF('Etap 1'!$L$13&lt;&gt;"",K13&amp;": "&amp;  'Etap 1'!$L$13,"")</f>
        <v>1.18: Zadanie T1.8</v>
      </c>
      <c r="L110" s="128"/>
      <c r="M110" s="128"/>
      <c r="N110" s="128"/>
      <c r="O110" s="128"/>
      <c r="P110" s="128"/>
      <c r="Q110" s="128"/>
      <c r="R110" s="129"/>
    </row>
    <row r="111" spans="2:18" x14ac:dyDescent="0.25">
      <c r="B111" s="6" t="s">
        <v>1</v>
      </c>
      <c r="C111" s="7" t="s">
        <v>16</v>
      </c>
      <c r="D111" s="7" t="s">
        <v>3</v>
      </c>
      <c r="E111" s="7" t="s">
        <v>4</v>
      </c>
      <c r="F111" s="7" t="s">
        <v>15</v>
      </c>
      <c r="G111" s="7" t="s">
        <v>5</v>
      </c>
      <c r="H111" s="7" t="s">
        <v>6</v>
      </c>
      <c r="I111" s="8" t="s">
        <v>7</v>
      </c>
      <c r="J111" s="5"/>
      <c r="K111" s="34" t="s">
        <v>1</v>
      </c>
      <c r="L111" s="35" t="s">
        <v>16</v>
      </c>
      <c r="M111" s="35" t="s">
        <v>3</v>
      </c>
      <c r="N111" s="35" t="s">
        <v>4</v>
      </c>
      <c r="O111" s="35" t="s">
        <v>15</v>
      </c>
      <c r="P111" s="35" t="s">
        <v>5</v>
      </c>
      <c r="Q111" s="35" t="s">
        <v>6</v>
      </c>
      <c r="R111" s="36" t="s">
        <v>7</v>
      </c>
    </row>
    <row r="112" spans="2:18" x14ac:dyDescent="0.25">
      <c r="B112" s="41" t="str">
        <f>IF(C112&lt;&gt;"","1.8.1","")</f>
        <v>1.8.1</v>
      </c>
      <c r="C112" s="43" t="s">
        <v>17</v>
      </c>
      <c r="D112" s="43" t="s">
        <v>10</v>
      </c>
      <c r="E112" s="43" t="s">
        <v>19</v>
      </c>
      <c r="F112" s="43">
        <v>5</v>
      </c>
      <c r="G112" s="43">
        <v>50</v>
      </c>
      <c r="H112" s="45">
        <f t="shared" ref="H112:H121" si="14">IF(C112&lt;&gt;"",F112*G112,"")</f>
        <v>250</v>
      </c>
      <c r="I112" s="46" t="s">
        <v>154</v>
      </c>
      <c r="J112" s="5"/>
      <c r="K112" s="37" t="str">
        <f>IF(L112&lt;&gt;"",$K$13&amp;".1","")</f>
        <v>1.18.1</v>
      </c>
      <c r="L112" s="43" t="s">
        <v>17</v>
      </c>
      <c r="M112" s="43" t="s">
        <v>10</v>
      </c>
      <c r="N112" s="43" t="s">
        <v>19</v>
      </c>
      <c r="O112" s="43">
        <v>5</v>
      </c>
      <c r="P112" s="43">
        <v>50</v>
      </c>
      <c r="Q112" s="47">
        <f t="shared" ref="Q112:Q121" si="15">IF(L112&lt;&gt;"",O112*P112,"")</f>
        <v>250</v>
      </c>
      <c r="R112" s="46" t="s">
        <v>154</v>
      </c>
    </row>
    <row r="113" spans="2:18" x14ac:dyDescent="0.25">
      <c r="B113" s="41" t="str">
        <f>IF(C113&lt;&gt;"","1.8.2","")</f>
        <v>1.8.2</v>
      </c>
      <c r="C113" s="43" t="s">
        <v>20</v>
      </c>
      <c r="D113" s="43" t="s">
        <v>11</v>
      </c>
      <c r="E113" s="43" t="s">
        <v>13</v>
      </c>
      <c r="F113" s="43">
        <v>8</v>
      </c>
      <c r="G113" s="43">
        <v>20</v>
      </c>
      <c r="H113" s="45">
        <f t="shared" si="14"/>
        <v>160</v>
      </c>
      <c r="I113" s="46" t="s">
        <v>155</v>
      </c>
      <c r="J113" s="5"/>
      <c r="K113" s="37" t="str">
        <f>IF(L113&lt;&gt;"",$K$13&amp;".2","")</f>
        <v>1.18.2</v>
      </c>
      <c r="L113" s="43" t="s">
        <v>20</v>
      </c>
      <c r="M113" s="43" t="s">
        <v>11</v>
      </c>
      <c r="N113" s="43" t="s">
        <v>13</v>
      </c>
      <c r="O113" s="43">
        <v>8</v>
      </c>
      <c r="P113" s="43">
        <v>20</v>
      </c>
      <c r="Q113" s="47">
        <f t="shared" si="15"/>
        <v>160</v>
      </c>
      <c r="R113" s="46" t="s">
        <v>155</v>
      </c>
    </row>
    <row r="114" spans="2:18" x14ac:dyDescent="0.25">
      <c r="B114" s="41" t="str">
        <f>IF(C114&lt;&gt;"","1.8.3","")</f>
        <v>1.8.3</v>
      </c>
      <c r="C114" s="43" t="s">
        <v>21</v>
      </c>
      <c r="D114" s="43" t="s">
        <v>9</v>
      </c>
      <c r="E114" s="43" t="s">
        <v>19</v>
      </c>
      <c r="F114" s="43">
        <v>5</v>
      </c>
      <c r="G114" s="43">
        <v>8</v>
      </c>
      <c r="H114" s="45">
        <f t="shared" si="14"/>
        <v>40</v>
      </c>
      <c r="I114" s="46" t="s">
        <v>156</v>
      </c>
      <c r="J114" s="5"/>
      <c r="K114" s="37" t="str">
        <f>IF(L114&lt;&gt;"",$K$13&amp;".3","")</f>
        <v>1.18.3</v>
      </c>
      <c r="L114" s="43" t="s">
        <v>21</v>
      </c>
      <c r="M114" s="43" t="s">
        <v>9</v>
      </c>
      <c r="N114" s="43" t="s">
        <v>19</v>
      </c>
      <c r="O114" s="43">
        <v>5</v>
      </c>
      <c r="P114" s="43">
        <v>8</v>
      </c>
      <c r="Q114" s="47">
        <f t="shared" si="15"/>
        <v>40</v>
      </c>
      <c r="R114" s="46" t="s">
        <v>156</v>
      </c>
    </row>
    <row r="115" spans="2:18" x14ac:dyDescent="0.25">
      <c r="B115" s="41" t="str">
        <f>IF(C115&lt;&gt;"","1.8.4","")</f>
        <v>1.8.4</v>
      </c>
      <c r="C115" s="43" t="s">
        <v>22</v>
      </c>
      <c r="D115" s="43" t="s">
        <v>9</v>
      </c>
      <c r="E115" s="43" t="s">
        <v>19</v>
      </c>
      <c r="F115" s="43">
        <v>8</v>
      </c>
      <c r="G115" s="43">
        <v>12</v>
      </c>
      <c r="H115" s="45">
        <f t="shared" si="14"/>
        <v>96</v>
      </c>
      <c r="I115" s="46" t="s">
        <v>157</v>
      </c>
      <c r="J115" s="5"/>
      <c r="K115" s="37" t="str">
        <f>IF(L115&lt;&gt;"",$K$13&amp;".4","")</f>
        <v>1.18.4</v>
      </c>
      <c r="L115" s="43" t="s">
        <v>22</v>
      </c>
      <c r="M115" s="43" t="s">
        <v>9</v>
      </c>
      <c r="N115" s="43" t="s">
        <v>19</v>
      </c>
      <c r="O115" s="43">
        <v>8</v>
      </c>
      <c r="P115" s="43">
        <v>12</v>
      </c>
      <c r="Q115" s="47">
        <f t="shared" si="15"/>
        <v>96</v>
      </c>
      <c r="R115" s="46" t="s">
        <v>157</v>
      </c>
    </row>
    <row r="116" spans="2:18" x14ac:dyDescent="0.25">
      <c r="B116" s="41" t="str">
        <f>IF(C116&lt;&gt;"","1.8.5","")</f>
        <v>1.8.5</v>
      </c>
      <c r="C116" s="43" t="s">
        <v>23</v>
      </c>
      <c r="D116" s="43" t="s">
        <v>9</v>
      </c>
      <c r="E116" s="43" t="s">
        <v>19</v>
      </c>
      <c r="F116" s="43">
        <v>3</v>
      </c>
      <c r="G116" s="43">
        <v>16</v>
      </c>
      <c r="H116" s="45">
        <f t="shared" si="14"/>
        <v>48</v>
      </c>
      <c r="I116" s="46" t="s">
        <v>158</v>
      </c>
      <c r="J116" s="5"/>
      <c r="K116" s="37" t="str">
        <f>IF(L116&lt;&gt;"",$K$13&amp;".5","")</f>
        <v>1.18.5</v>
      </c>
      <c r="L116" s="43" t="s">
        <v>23</v>
      </c>
      <c r="M116" s="43" t="s">
        <v>9</v>
      </c>
      <c r="N116" s="43" t="s">
        <v>19</v>
      </c>
      <c r="O116" s="43">
        <v>3</v>
      </c>
      <c r="P116" s="43">
        <v>16</v>
      </c>
      <c r="Q116" s="47">
        <f t="shared" si="15"/>
        <v>48</v>
      </c>
      <c r="R116" s="46" t="s">
        <v>158</v>
      </c>
    </row>
    <row r="117" spans="2:18" x14ac:dyDescent="0.25">
      <c r="B117" s="41" t="str">
        <f>IF(C117&lt;&gt;"","1.8.6","")</f>
        <v>1.8.6</v>
      </c>
      <c r="C117" s="43" t="s">
        <v>24</v>
      </c>
      <c r="D117" s="43" t="s">
        <v>9</v>
      </c>
      <c r="E117" s="43" t="s">
        <v>19</v>
      </c>
      <c r="F117" s="43">
        <v>4</v>
      </c>
      <c r="G117" s="43">
        <v>8</v>
      </c>
      <c r="H117" s="45">
        <f t="shared" si="14"/>
        <v>32</v>
      </c>
      <c r="I117" s="46" t="s">
        <v>159</v>
      </c>
      <c r="J117" s="5"/>
      <c r="K117" s="37" t="str">
        <f>IF(L117&lt;&gt;"",$K$13&amp;".6","")</f>
        <v>1.18.6</v>
      </c>
      <c r="L117" s="43" t="s">
        <v>24</v>
      </c>
      <c r="M117" s="43" t="s">
        <v>9</v>
      </c>
      <c r="N117" s="43" t="s">
        <v>19</v>
      </c>
      <c r="O117" s="43">
        <v>4</v>
      </c>
      <c r="P117" s="43">
        <v>8</v>
      </c>
      <c r="Q117" s="47">
        <f t="shared" si="15"/>
        <v>32</v>
      </c>
      <c r="R117" s="46" t="s">
        <v>159</v>
      </c>
    </row>
    <row r="118" spans="2:18" x14ac:dyDescent="0.25">
      <c r="B118" s="41" t="str">
        <f>IF(C118&lt;&gt;"","1.8.7","")</f>
        <v>1.8.7</v>
      </c>
      <c r="C118" s="43" t="s">
        <v>26</v>
      </c>
      <c r="D118" s="43" t="s">
        <v>9</v>
      </c>
      <c r="E118" s="43" t="s">
        <v>19</v>
      </c>
      <c r="F118" s="43">
        <v>2</v>
      </c>
      <c r="G118" s="43">
        <v>55</v>
      </c>
      <c r="H118" s="45">
        <f t="shared" si="14"/>
        <v>110</v>
      </c>
      <c r="I118" s="46" t="s">
        <v>160</v>
      </c>
      <c r="J118" s="5"/>
      <c r="K118" s="37" t="str">
        <f>IF(L118&lt;&gt;"",$K$13&amp;".7","")</f>
        <v>1.18.7</v>
      </c>
      <c r="L118" s="43" t="s">
        <v>26</v>
      </c>
      <c r="M118" s="43" t="s">
        <v>9</v>
      </c>
      <c r="N118" s="43" t="s">
        <v>19</v>
      </c>
      <c r="O118" s="43">
        <v>2</v>
      </c>
      <c r="P118" s="43">
        <v>55</v>
      </c>
      <c r="Q118" s="47">
        <f t="shared" si="15"/>
        <v>110</v>
      </c>
      <c r="R118" s="46" t="s">
        <v>160</v>
      </c>
    </row>
    <row r="119" spans="2:18" x14ac:dyDescent="0.25">
      <c r="B119" s="41" t="str">
        <f>IF(C119&lt;&gt;"","1.8.8","")</f>
        <v>1.8.8</v>
      </c>
      <c r="C119" s="43" t="s">
        <v>25</v>
      </c>
      <c r="D119" s="43" t="s">
        <v>9</v>
      </c>
      <c r="E119" s="43" t="s">
        <v>19</v>
      </c>
      <c r="F119" s="43">
        <v>6</v>
      </c>
      <c r="G119" s="43">
        <v>80</v>
      </c>
      <c r="H119" s="45">
        <f t="shared" si="14"/>
        <v>480</v>
      </c>
      <c r="I119" s="46" t="s">
        <v>161</v>
      </c>
      <c r="J119" s="5"/>
      <c r="K119" s="37" t="str">
        <f>IF(L119&lt;&gt;"",$K$13&amp;".8","")</f>
        <v>1.18.8</v>
      </c>
      <c r="L119" s="43" t="s">
        <v>25</v>
      </c>
      <c r="M119" s="43" t="s">
        <v>9</v>
      </c>
      <c r="N119" s="43" t="s">
        <v>19</v>
      </c>
      <c r="O119" s="43">
        <v>6</v>
      </c>
      <c r="P119" s="43">
        <v>80</v>
      </c>
      <c r="Q119" s="47">
        <f t="shared" si="15"/>
        <v>480</v>
      </c>
      <c r="R119" s="46" t="s">
        <v>161</v>
      </c>
    </row>
    <row r="120" spans="2:18" x14ac:dyDescent="0.25">
      <c r="B120" s="41" t="str">
        <f>IF(C120&lt;&gt;"","1.8.9","")</f>
        <v>1.8.9</v>
      </c>
      <c r="C120" s="43" t="s">
        <v>27</v>
      </c>
      <c r="D120" s="43" t="s">
        <v>9</v>
      </c>
      <c r="E120" s="43" t="s">
        <v>19</v>
      </c>
      <c r="F120" s="43">
        <v>9</v>
      </c>
      <c r="G120" s="43">
        <v>90</v>
      </c>
      <c r="H120" s="45">
        <f t="shared" si="14"/>
        <v>810</v>
      </c>
      <c r="I120" s="46" t="s">
        <v>162</v>
      </c>
      <c r="J120" s="5"/>
      <c r="K120" s="37" t="str">
        <f>IF(L120&lt;&gt;"",$K$13&amp;".9","")</f>
        <v>1.18.9</v>
      </c>
      <c r="L120" s="43" t="s">
        <v>27</v>
      </c>
      <c r="M120" s="43" t="s">
        <v>9</v>
      </c>
      <c r="N120" s="43" t="s">
        <v>19</v>
      </c>
      <c r="O120" s="43">
        <v>9</v>
      </c>
      <c r="P120" s="43">
        <v>90</v>
      </c>
      <c r="Q120" s="47">
        <f t="shared" si="15"/>
        <v>810</v>
      </c>
      <c r="R120" s="46" t="s">
        <v>162</v>
      </c>
    </row>
    <row r="121" spans="2:18" ht="15.75" thickBot="1" x14ac:dyDescent="0.3">
      <c r="B121" s="42" t="str">
        <f>IF(C121&lt;&gt;"","1.8.10","")</f>
        <v>1.8.10</v>
      </c>
      <c r="C121" s="44" t="s">
        <v>28</v>
      </c>
      <c r="D121" s="44" t="s">
        <v>9</v>
      </c>
      <c r="E121" s="44" t="s">
        <v>19</v>
      </c>
      <c r="F121" s="44">
        <v>7</v>
      </c>
      <c r="G121" s="44">
        <v>110</v>
      </c>
      <c r="H121" s="48">
        <f t="shared" si="14"/>
        <v>770</v>
      </c>
      <c r="I121" s="49" t="s">
        <v>163</v>
      </c>
      <c r="J121" s="5"/>
      <c r="K121" s="38" t="str">
        <f>IF(L121&lt;&gt;"",$K$13&amp;".10","")</f>
        <v>1.18.10</v>
      </c>
      <c r="L121" s="44" t="s">
        <v>28</v>
      </c>
      <c r="M121" s="44" t="s">
        <v>9</v>
      </c>
      <c r="N121" s="44" t="s">
        <v>19</v>
      </c>
      <c r="O121" s="44">
        <v>7</v>
      </c>
      <c r="P121" s="44">
        <v>110</v>
      </c>
      <c r="Q121" s="50">
        <f t="shared" si="15"/>
        <v>770</v>
      </c>
      <c r="R121" s="49" t="s">
        <v>163</v>
      </c>
    </row>
    <row r="122" spans="2:18" ht="15.75" thickBot="1" x14ac:dyDescent="0.3">
      <c r="B122" s="5"/>
      <c r="C122" s="5"/>
      <c r="D122" s="5"/>
      <c r="E122" s="5"/>
      <c r="F122" s="5"/>
      <c r="G122" s="5"/>
      <c r="H122" s="5"/>
      <c r="I122" s="5"/>
      <c r="J122" s="5"/>
      <c r="K122" s="5"/>
      <c r="L122" s="5"/>
      <c r="M122" s="5"/>
      <c r="N122" s="5"/>
      <c r="O122" s="5"/>
      <c r="P122" s="5"/>
      <c r="Q122" s="5"/>
      <c r="R122" s="5"/>
    </row>
    <row r="123" spans="2:18" ht="19.5" thickBot="1" x14ac:dyDescent="0.35">
      <c r="B123" s="118" t="str">
        <f>IF('Etap 1'!$C$14&lt;&gt;"",B14&amp;": "&amp;  'Etap 1'!$C$14,"")</f>
        <v>1.9: Zadanie P1.9</v>
      </c>
      <c r="C123" s="119"/>
      <c r="D123" s="119"/>
      <c r="E123" s="119"/>
      <c r="F123" s="119"/>
      <c r="G123" s="119"/>
      <c r="H123" s="119"/>
      <c r="I123" s="120"/>
      <c r="J123" s="5"/>
      <c r="K123" s="127" t="str">
        <f>IF('Etap 1'!$L$14&lt;&gt;"",K14&amp;": "&amp;  'Etap 1'!$L$14,"")</f>
        <v>1.19: Zadanie T1.9</v>
      </c>
      <c r="L123" s="128"/>
      <c r="M123" s="128"/>
      <c r="N123" s="128"/>
      <c r="O123" s="128"/>
      <c r="P123" s="128"/>
      <c r="Q123" s="128"/>
      <c r="R123" s="129"/>
    </row>
    <row r="124" spans="2:18" x14ac:dyDescent="0.25">
      <c r="B124" s="6" t="s">
        <v>1</v>
      </c>
      <c r="C124" s="7" t="s">
        <v>16</v>
      </c>
      <c r="D124" s="7" t="s">
        <v>3</v>
      </c>
      <c r="E124" s="7" t="s">
        <v>4</v>
      </c>
      <c r="F124" s="7" t="s">
        <v>15</v>
      </c>
      <c r="G124" s="7" t="s">
        <v>5</v>
      </c>
      <c r="H124" s="7" t="s">
        <v>6</v>
      </c>
      <c r="I124" s="8" t="s">
        <v>7</v>
      </c>
      <c r="J124" s="5"/>
      <c r="K124" s="34" t="s">
        <v>1</v>
      </c>
      <c r="L124" s="35" t="s">
        <v>16</v>
      </c>
      <c r="M124" s="35" t="s">
        <v>3</v>
      </c>
      <c r="N124" s="35" t="s">
        <v>4</v>
      </c>
      <c r="O124" s="35" t="s">
        <v>15</v>
      </c>
      <c r="P124" s="35" t="s">
        <v>5</v>
      </c>
      <c r="Q124" s="35" t="s">
        <v>6</v>
      </c>
      <c r="R124" s="36" t="s">
        <v>7</v>
      </c>
    </row>
    <row r="125" spans="2:18" x14ac:dyDescent="0.25">
      <c r="B125" s="41" t="str">
        <f>IF(C125&lt;&gt;"","1.9.1","")</f>
        <v>1.9.1</v>
      </c>
      <c r="C125" s="43" t="s">
        <v>17</v>
      </c>
      <c r="D125" s="43" t="s">
        <v>10</v>
      </c>
      <c r="E125" s="43" t="s">
        <v>19</v>
      </c>
      <c r="F125" s="43">
        <v>5</v>
      </c>
      <c r="G125" s="43">
        <v>50</v>
      </c>
      <c r="H125" s="45">
        <f t="shared" ref="H125:H134" si="16">IF(C125&lt;&gt;"",F125*G125,"")</f>
        <v>250</v>
      </c>
      <c r="I125" s="46" t="s">
        <v>154</v>
      </c>
      <c r="J125" s="5"/>
      <c r="K125" s="37" t="str">
        <f>IF(L125&lt;&gt;"",$K$14&amp;".1","")</f>
        <v>1.19.1</v>
      </c>
      <c r="L125" s="43" t="s">
        <v>17</v>
      </c>
      <c r="M125" s="43" t="s">
        <v>10</v>
      </c>
      <c r="N125" s="43" t="s">
        <v>19</v>
      </c>
      <c r="O125" s="43">
        <v>5</v>
      </c>
      <c r="P125" s="43">
        <v>50</v>
      </c>
      <c r="Q125" s="47">
        <f t="shared" ref="Q125:Q134" si="17">IF(L125&lt;&gt;"",O125*P125,"")</f>
        <v>250</v>
      </c>
      <c r="R125" s="46" t="s">
        <v>154</v>
      </c>
    </row>
    <row r="126" spans="2:18" x14ac:dyDescent="0.25">
      <c r="B126" s="41" t="str">
        <f>IF(C126&lt;&gt;"","1.9.2","")</f>
        <v>1.9.2</v>
      </c>
      <c r="C126" s="43" t="s">
        <v>20</v>
      </c>
      <c r="D126" s="43" t="s">
        <v>11</v>
      </c>
      <c r="E126" s="43" t="s">
        <v>13</v>
      </c>
      <c r="F126" s="43">
        <v>8</v>
      </c>
      <c r="G126" s="43">
        <v>20</v>
      </c>
      <c r="H126" s="45">
        <f t="shared" si="16"/>
        <v>160</v>
      </c>
      <c r="I126" s="46" t="s">
        <v>155</v>
      </c>
      <c r="J126" s="5"/>
      <c r="K126" s="37" t="str">
        <f>IF(L126&lt;&gt;"",$K$14&amp;".2","")</f>
        <v>1.19.2</v>
      </c>
      <c r="L126" s="43" t="s">
        <v>20</v>
      </c>
      <c r="M126" s="43" t="s">
        <v>11</v>
      </c>
      <c r="N126" s="43" t="s">
        <v>13</v>
      </c>
      <c r="O126" s="43">
        <v>8</v>
      </c>
      <c r="P126" s="43">
        <v>20</v>
      </c>
      <c r="Q126" s="47">
        <f t="shared" si="17"/>
        <v>160</v>
      </c>
      <c r="R126" s="46" t="s">
        <v>155</v>
      </c>
    </row>
    <row r="127" spans="2:18" x14ac:dyDescent="0.25">
      <c r="B127" s="41" t="str">
        <f>IF(C127&lt;&gt;"","1.9.3","")</f>
        <v>1.9.3</v>
      </c>
      <c r="C127" s="43" t="s">
        <v>21</v>
      </c>
      <c r="D127" s="43" t="s">
        <v>9</v>
      </c>
      <c r="E127" s="43" t="s">
        <v>19</v>
      </c>
      <c r="F127" s="43">
        <v>5</v>
      </c>
      <c r="G127" s="43">
        <v>8</v>
      </c>
      <c r="H127" s="45">
        <f t="shared" si="16"/>
        <v>40</v>
      </c>
      <c r="I127" s="46" t="s">
        <v>156</v>
      </c>
      <c r="J127" s="5"/>
      <c r="K127" s="37" t="str">
        <f>IF(L127&lt;&gt;"",$K$14&amp;".3","")</f>
        <v>1.19.3</v>
      </c>
      <c r="L127" s="43" t="s">
        <v>21</v>
      </c>
      <c r="M127" s="43" t="s">
        <v>9</v>
      </c>
      <c r="N127" s="43" t="s">
        <v>19</v>
      </c>
      <c r="O127" s="43">
        <v>5</v>
      </c>
      <c r="P127" s="43">
        <v>8</v>
      </c>
      <c r="Q127" s="47">
        <f t="shared" si="17"/>
        <v>40</v>
      </c>
      <c r="R127" s="46" t="s">
        <v>156</v>
      </c>
    </row>
    <row r="128" spans="2:18" x14ac:dyDescent="0.25">
      <c r="B128" s="41" t="str">
        <f>IF(C128&lt;&gt;"","1.9.4","")</f>
        <v>1.9.4</v>
      </c>
      <c r="C128" s="43" t="s">
        <v>22</v>
      </c>
      <c r="D128" s="43" t="s">
        <v>9</v>
      </c>
      <c r="E128" s="43" t="s">
        <v>19</v>
      </c>
      <c r="F128" s="43">
        <v>8</v>
      </c>
      <c r="G128" s="43">
        <v>12</v>
      </c>
      <c r="H128" s="45">
        <f t="shared" si="16"/>
        <v>96</v>
      </c>
      <c r="I128" s="46" t="s">
        <v>157</v>
      </c>
      <c r="J128" s="5"/>
      <c r="K128" s="37" t="str">
        <f>IF(L128&lt;&gt;"",$K$14&amp;".4","")</f>
        <v>1.19.4</v>
      </c>
      <c r="L128" s="43" t="s">
        <v>22</v>
      </c>
      <c r="M128" s="43" t="s">
        <v>9</v>
      </c>
      <c r="N128" s="43" t="s">
        <v>19</v>
      </c>
      <c r="O128" s="43">
        <v>8</v>
      </c>
      <c r="P128" s="43">
        <v>12</v>
      </c>
      <c r="Q128" s="47">
        <f t="shared" si="17"/>
        <v>96</v>
      </c>
      <c r="R128" s="46" t="s">
        <v>157</v>
      </c>
    </row>
    <row r="129" spans="2:18" x14ac:dyDescent="0.25">
      <c r="B129" s="41" t="str">
        <f>IF(C129&lt;&gt;"","1.9.5","")</f>
        <v>1.9.5</v>
      </c>
      <c r="C129" s="43" t="s">
        <v>23</v>
      </c>
      <c r="D129" s="43" t="s">
        <v>9</v>
      </c>
      <c r="E129" s="43" t="s">
        <v>19</v>
      </c>
      <c r="F129" s="43">
        <v>3</v>
      </c>
      <c r="G129" s="43">
        <v>16</v>
      </c>
      <c r="H129" s="45">
        <f t="shared" si="16"/>
        <v>48</v>
      </c>
      <c r="I129" s="46" t="s">
        <v>158</v>
      </c>
      <c r="J129" s="5"/>
      <c r="K129" s="37" t="str">
        <f>IF(L129&lt;&gt;"",$K$14&amp;".5","")</f>
        <v>1.19.5</v>
      </c>
      <c r="L129" s="43" t="s">
        <v>23</v>
      </c>
      <c r="M129" s="43" t="s">
        <v>9</v>
      </c>
      <c r="N129" s="43" t="s">
        <v>19</v>
      </c>
      <c r="O129" s="43">
        <v>3</v>
      </c>
      <c r="P129" s="43">
        <v>16</v>
      </c>
      <c r="Q129" s="47">
        <f t="shared" si="17"/>
        <v>48</v>
      </c>
      <c r="R129" s="46" t="s">
        <v>158</v>
      </c>
    </row>
    <row r="130" spans="2:18" x14ac:dyDescent="0.25">
      <c r="B130" s="41" t="str">
        <f>IF(C130&lt;&gt;"","1.9.6","")</f>
        <v>1.9.6</v>
      </c>
      <c r="C130" s="43" t="s">
        <v>24</v>
      </c>
      <c r="D130" s="43" t="s">
        <v>9</v>
      </c>
      <c r="E130" s="43" t="s">
        <v>19</v>
      </c>
      <c r="F130" s="43">
        <v>4</v>
      </c>
      <c r="G130" s="43">
        <v>8</v>
      </c>
      <c r="H130" s="45">
        <f t="shared" si="16"/>
        <v>32</v>
      </c>
      <c r="I130" s="46" t="s">
        <v>159</v>
      </c>
      <c r="J130" s="5"/>
      <c r="K130" s="37" t="str">
        <f>IF(L130&lt;&gt;"",$K$14&amp;".6","")</f>
        <v>1.19.6</v>
      </c>
      <c r="L130" s="43" t="s">
        <v>24</v>
      </c>
      <c r="M130" s="43" t="s">
        <v>9</v>
      </c>
      <c r="N130" s="43" t="s">
        <v>19</v>
      </c>
      <c r="O130" s="43">
        <v>4</v>
      </c>
      <c r="P130" s="43">
        <v>8</v>
      </c>
      <c r="Q130" s="47">
        <f t="shared" si="17"/>
        <v>32</v>
      </c>
      <c r="R130" s="46" t="s">
        <v>159</v>
      </c>
    </row>
    <row r="131" spans="2:18" x14ac:dyDescent="0.25">
      <c r="B131" s="41" t="str">
        <f>IF(C131&lt;&gt;"","1.9.7","")</f>
        <v>1.9.7</v>
      </c>
      <c r="C131" s="43" t="s">
        <v>26</v>
      </c>
      <c r="D131" s="43" t="s">
        <v>9</v>
      </c>
      <c r="E131" s="43" t="s">
        <v>19</v>
      </c>
      <c r="F131" s="43">
        <v>2</v>
      </c>
      <c r="G131" s="43">
        <v>55</v>
      </c>
      <c r="H131" s="45">
        <f t="shared" si="16"/>
        <v>110</v>
      </c>
      <c r="I131" s="46" t="s">
        <v>160</v>
      </c>
      <c r="J131" s="5"/>
      <c r="K131" s="37" t="str">
        <f>IF(L131&lt;&gt;"",$K$14&amp;".7","")</f>
        <v>1.19.7</v>
      </c>
      <c r="L131" s="43" t="s">
        <v>26</v>
      </c>
      <c r="M131" s="43" t="s">
        <v>9</v>
      </c>
      <c r="N131" s="43" t="s">
        <v>19</v>
      </c>
      <c r="O131" s="43">
        <v>2</v>
      </c>
      <c r="P131" s="43">
        <v>55</v>
      </c>
      <c r="Q131" s="47">
        <f t="shared" si="17"/>
        <v>110</v>
      </c>
      <c r="R131" s="46" t="s">
        <v>160</v>
      </c>
    </row>
    <row r="132" spans="2:18" x14ac:dyDescent="0.25">
      <c r="B132" s="41" t="str">
        <f>IF(C132&lt;&gt;"","1.9.8","")</f>
        <v>1.9.8</v>
      </c>
      <c r="C132" s="43" t="s">
        <v>25</v>
      </c>
      <c r="D132" s="43" t="s">
        <v>9</v>
      </c>
      <c r="E132" s="43" t="s">
        <v>19</v>
      </c>
      <c r="F132" s="43">
        <v>6</v>
      </c>
      <c r="G132" s="43">
        <v>80</v>
      </c>
      <c r="H132" s="45">
        <f t="shared" si="16"/>
        <v>480</v>
      </c>
      <c r="I132" s="46" t="s">
        <v>161</v>
      </c>
      <c r="J132" s="5"/>
      <c r="K132" s="37" t="str">
        <f>IF(L132&lt;&gt;"",$K$14&amp;".8","")</f>
        <v>1.19.8</v>
      </c>
      <c r="L132" s="43" t="s">
        <v>25</v>
      </c>
      <c r="M132" s="43" t="s">
        <v>9</v>
      </c>
      <c r="N132" s="43" t="s">
        <v>19</v>
      </c>
      <c r="O132" s="43">
        <v>6</v>
      </c>
      <c r="P132" s="43">
        <v>80</v>
      </c>
      <c r="Q132" s="47">
        <f t="shared" si="17"/>
        <v>480</v>
      </c>
      <c r="R132" s="46" t="s">
        <v>161</v>
      </c>
    </row>
    <row r="133" spans="2:18" x14ac:dyDescent="0.25">
      <c r="B133" s="41" t="str">
        <f>IF(C133&lt;&gt;"","1.9.9","")</f>
        <v>1.9.9</v>
      </c>
      <c r="C133" s="43" t="s">
        <v>27</v>
      </c>
      <c r="D133" s="43" t="s">
        <v>9</v>
      </c>
      <c r="E133" s="43" t="s">
        <v>19</v>
      </c>
      <c r="F133" s="43">
        <v>9</v>
      </c>
      <c r="G133" s="43">
        <v>90</v>
      </c>
      <c r="H133" s="45">
        <f t="shared" si="16"/>
        <v>810</v>
      </c>
      <c r="I133" s="46" t="s">
        <v>162</v>
      </c>
      <c r="J133" s="5"/>
      <c r="K133" s="37" t="str">
        <f>IF(L133&lt;&gt;"",$K$14&amp;".9","")</f>
        <v>1.19.9</v>
      </c>
      <c r="L133" s="43" t="s">
        <v>27</v>
      </c>
      <c r="M133" s="43" t="s">
        <v>9</v>
      </c>
      <c r="N133" s="43" t="s">
        <v>19</v>
      </c>
      <c r="O133" s="43">
        <v>9</v>
      </c>
      <c r="P133" s="43">
        <v>90</v>
      </c>
      <c r="Q133" s="47">
        <f t="shared" si="17"/>
        <v>810</v>
      </c>
      <c r="R133" s="46" t="s">
        <v>162</v>
      </c>
    </row>
    <row r="134" spans="2:18" ht="15.75" thickBot="1" x14ac:dyDescent="0.3">
      <c r="B134" s="42" t="str">
        <f>IF(C134&lt;&gt;"","1.9.10","")</f>
        <v>1.9.10</v>
      </c>
      <c r="C134" s="44" t="s">
        <v>28</v>
      </c>
      <c r="D134" s="44" t="s">
        <v>9</v>
      </c>
      <c r="E134" s="44" t="s">
        <v>19</v>
      </c>
      <c r="F134" s="44">
        <v>7</v>
      </c>
      <c r="G134" s="44">
        <v>110</v>
      </c>
      <c r="H134" s="48">
        <f t="shared" si="16"/>
        <v>770</v>
      </c>
      <c r="I134" s="49" t="s">
        <v>163</v>
      </c>
      <c r="J134" s="5"/>
      <c r="K134" s="38" t="str">
        <f>IF(L134&lt;&gt;"",$K$14&amp;".10","")</f>
        <v>1.19.10</v>
      </c>
      <c r="L134" s="44" t="s">
        <v>28</v>
      </c>
      <c r="M134" s="44" t="s">
        <v>9</v>
      </c>
      <c r="N134" s="44" t="s">
        <v>19</v>
      </c>
      <c r="O134" s="44">
        <v>7</v>
      </c>
      <c r="P134" s="44">
        <v>110</v>
      </c>
      <c r="Q134" s="50">
        <f t="shared" si="17"/>
        <v>770</v>
      </c>
      <c r="R134" s="49" t="s">
        <v>163</v>
      </c>
    </row>
    <row r="135" spans="2:18" ht="15.75" thickBot="1" x14ac:dyDescent="0.3">
      <c r="B135" s="5"/>
      <c r="C135" s="5"/>
      <c r="D135" s="5"/>
      <c r="E135" s="5"/>
      <c r="F135" s="5"/>
      <c r="G135" s="5"/>
      <c r="H135" s="5"/>
      <c r="I135" s="5"/>
      <c r="J135" s="5"/>
      <c r="K135" s="5"/>
      <c r="L135" s="5"/>
      <c r="M135" s="5"/>
      <c r="N135" s="5"/>
      <c r="O135" s="5"/>
      <c r="P135" s="5"/>
      <c r="Q135" s="5"/>
      <c r="R135" s="5"/>
    </row>
    <row r="136" spans="2:18" ht="19.5" thickBot="1" x14ac:dyDescent="0.35">
      <c r="B136" s="118" t="str">
        <f>IF('Etap 1'!$C$15&lt;&gt;"",B15&amp;": "&amp;  'Etap 1'!$C$15,"")</f>
        <v>1.10: Zadanie P1.10</v>
      </c>
      <c r="C136" s="119"/>
      <c r="D136" s="119"/>
      <c r="E136" s="119"/>
      <c r="F136" s="119"/>
      <c r="G136" s="119"/>
      <c r="H136" s="119"/>
      <c r="I136" s="120"/>
      <c r="J136" s="5"/>
      <c r="K136" s="127" t="str">
        <f>IF('Etap 1'!$L$15&lt;&gt;"",K15&amp;": "&amp;  'Etap 1'!$L$15,"")</f>
        <v>1.20: Zadanie T1.10</v>
      </c>
      <c r="L136" s="128"/>
      <c r="M136" s="128"/>
      <c r="N136" s="128"/>
      <c r="O136" s="128"/>
      <c r="P136" s="128"/>
      <c r="Q136" s="128"/>
      <c r="R136" s="129"/>
    </row>
    <row r="137" spans="2:18" x14ac:dyDescent="0.25">
      <c r="B137" s="6" t="s">
        <v>1</v>
      </c>
      <c r="C137" s="7" t="s">
        <v>16</v>
      </c>
      <c r="D137" s="7" t="s">
        <v>3</v>
      </c>
      <c r="E137" s="7" t="s">
        <v>4</v>
      </c>
      <c r="F137" s="7" t="s">
        <v>15</v>
      </c>
      <c r="G137" s="7" t="s">
        <v>5</v>
      </c>
      <c r="H137" s="7" t="s">
        <v>6</v>
      </c>
      <c r="I137" s="8" t="s">
        <v>7</v>
      </c>
      <c r="J137" s="5"/>
      <c r="K137" s="34" t="s">
        <v>1</v>
      </c>
      <c r="L137" s="35" t="s">
        <v>16</v>
      </c>
      <c r="M137" s="35" t="s">
        <v>3</v>
      </c>
      <c r="N137" s="35" t="s">
        <v>4</v>
      </c>
      <c r="O137" s="35" t="s">
        <v>15</v>
      </c>
      <c r="P137" s="35" t="s">
        <v>5</v>
      </c>
      <c r="Q137" s="35" t="s">
        <v>6</v>
      </c>
      <c r="R137" s="36" t="s">
        <v>7</v>
      </c>
    </row>
    <row r="138" spans="2:18" x14ac:dyDescent="0.25">
      <c r="B138" s="41" t="str">
        <f>IF(C138&lt;&gt;"","1.10.1","")</f>
        <v>1.10.1</v>
      </c>
      <c r="C138" s="43" t="s">
        <v>17</v>
      </c>
      <c r="D138" s="43" t="s">
        <v>10</v>
      </c>
      <c r="E138" s="43" t="s">
        <v>19</v>
      </c>
      <c r="F138" s="43">
        <v>5</v>
      </c>
      <c r="G138" s="43">
        <v>50</v>
      </c>
      <c r="H138" s="45">
        <f t="shared" ref="H138:H147" si="18">IF(C138&lt;&gt;"",F138*G138,"")</f>
        <v>250</v>
      </c>
      <c r="I138" s="46" t="s">
        <v>154</v>
      </c>
      <c r="J138" s="5"/>
      <c r="K138" s="37" t="str">
        <f>IF(L138&lt;&gt;"",$K$15&amp;".1","")</f>
        <v>1.20.1</v>
      </c>
      <c r="L138" s="43" t="s">
        <v>17</v>
      </c>
      <c r="M138" s="43" t="s">
        <v>10</v>
      </c>
      <c r="N138" s="43" t="s">
        <v>19</v>
      </c>
      <c r="O138" s="43">
        <v>5</v>
      </c>
      <c r="P138" s="43">
        <v>50</v>
      </c>
      <c r="Q138" s="47">
        <f t="shared" ref="Q138:Q147" si="19">IF(L138&lt;&gt;"",O138*P138,"")</f>
        <v>250</v>
      </c>
      <c r="R138" s="46" t="s">
        <v>154</v>
      </c>
    </row>
    <row r="139" spans="2:18" x14ac:dyDescent="0.25">
      <c r="B139" s="41" t="str">
        <f>IF(C139&lt;&gt;"","1.10.2","")</f>
        <v>1.10.2</v>
      </c>
      <c r="C139" s="43" t="s">
        <v>20</v>
      </c>
      <c r="D139" s="43" t="s">
        <v>11</v>
      </c>
      <c r="E139" s="43" t="s">
        <v>13</v>
      </c>
      <c r="F139" s="43">
        <v>8</v>
      </c>
      <c r="G139" s="43">
        <v>20</v>
      </c>
      <c r="H139" s="45">
        <f t="shared" si="18"/>
        <v>160</v>
      </c>
      <c r="I139" s="46" t="s">
        <v>155</v>
      </c>
      <c r="J139" s="5"/>
      <c r="K139" s="37" t="str">
        <f>IF(L139&lt;&gt;"",$K$15&amp;".2","")</f>
        <v>1.20.2</v>
      </c>
      <c r="L139" s="43" t="s">
        <v>20</v>
      </c>
      <c r="M139" s="43" t="s">
        <v>11</v>
      </c>
      <c r="N139" s="43" t="s">
        <v>13</v>
      </c>
      <c r="O139" s="43">
        <v>8</v>
      </c>
      <c r="P139" s="43">
        <v>20</v>
      </c>
      <c r="Q139" s="47">
        <f t="shared" si="19"/>
        <v>160</v>
      </c>
      <c r="R139" s="46" t="s">
        <v>155</v>
      </c>
    </row>
    <row r="140" spans="2:18" x14ac:dyDescent="0.25">
      <c r="B140" s="41" t="str">
        <f>IF(C140&lt;&gt;"","1.10.3","")</f>
        <v>1.10.3</v>
      </c>
      <c r="C140" s="43" t="s">
        <v>21</v>
      </c>
      <c r="D140" s="43" t="s">
        <v>9</v>
      </c>
      <c r="E140" s="43" t="s">
        <v>19</v>
      </c>
      <c r="F140" s="43">
        <v>5</v>
      </c>
      <c r="G140" s="43">
        <v>8</v>
      </c>
      <c r="H140" s="45">
        <f t="shared" si="18"/>
        <v>40</v>
      </c>
      <c r="I140" s="46" t="s">
        <v>156</v>
      </c>
      <c r="J140" s="5"/>
      <c r="K140" s="37" t="str">
        <f>IF(L140&lt;&gt;"",$K$15&amp;".3","")</f>
        <v>1.20.3</v>
      </c>
      <c r="L140" s="43" t="s">
        <v>21</v>
      </c>
      <c r="M140" s="43" t="s">
        <v>9</v>
      </c>
      <c r="N140" s="43" t="s">
        <v>19</v>
      </c>
      <c r="O140" s="43">
        <v>5</v>
      </c>
      <c r="P140" s="43">
        <v>8</v>
      </c>
      <c r="Q140" s="47">
        <f t="shared" si="19"/>
        <v>40</v>
      </c>
      <c r="R140" s="46" t="s">
        <v>156</v>
      </c>
    </row>
    <row r="141" spans="2:18" x14ac:dyDescent="0.25">
      <c r="B141" s="41" t="str">
        <f>IF(C141&lt;&gt;"","1.10.4","")</f>
        <v>1.10.4</v>
      </c>
      <c r="C141" s="43" t="s">
        <v>22</v>
      </c>
      <c r="D141" s="43" t="s">
        <v>9</v>
      </c>
      <c r="E141" s="43" t="s">
        <v>19</v>
      </c>
      <c r="F141" s="43">
        <v>8</v>
      </c>
      <c r="G141" s="43">
        <v>12</v>
      </c>
      <c r="H141" s="45">
        <f t="shared" si="18"/>
        <v>96</v>
      </c>
      <c r="I141" s="46" t="s">
        <v>157</v>
      </c>
      <c r="J141" s="5"/>
      <c r="K141" s="37" t="str">
        <f>IF(L141&lt;&gt;"",$K$15&amp;".4","")</f>
        <v>1.20.4</v>
      </c>
      <c r="L141" s="43" t="s">
        <v>22</v>
      </c>
      <c r="M141" s="43" t="s">
        <v>9</v>
      </c>
      <c r="N141" s="43" t="s">
        <v>19</v>
      </c>
      <c r="O141" s="43">
        <v>8</v>
      </c>
      <c r="P141" s="43">
        <v>12</v>
      </c>
      <c r="Q141" s="47">
        <f t="shared" si="19"/>
        <v>96</v>
      </c>
      <c r="R141" s="46" t="s">
        <v>157</v>
      </c>
    </row>
    <row r="142" spans="2:18" x14ac:dyDescent="0.25">
      <c r="B142" s="41" t="str">
        <f>IF(C142&lt;&gt;"","1.10.5","")</f>
        <v>1.10.5</v>
      </c>
      <c r="C142" s="43" t="s">
        <v>23</v>
      </c>
      <c r="D142" s="43" t="s">
        <v>9</v>
      </c>
      <c r="E142" s="43" t="s">
        <v>19</v>
      </c>
      <c r="F142" s="43">
        <v>3</v>
      </c>
      <c r="G142" s="43">
        <v>16</v>
      </c>
      <c r="H142" s="45">
        <f t="shared" si="18"/>
        <v>48</v>
      </c>
      <c r="I142" s="46" t="s">
        <v>158</v>
      </c>
      <c r="J142" s="5"/>
      <c r="K142" s="37" t="str">
        <f>IF(L142&lt;&gt;"",$K$15&amp;".5","")</f>
        <v>1.20.5</v>
      </c>
      <c r="L142" s="43" t="s">
        <v>23</v>
      </c>
      <c r="M142" s="43" t="s">
        <v>9</v>
      </c>
      <c r="N142" s="43" t="s">
        <v>19</v>
      </c>
      <c r="O142" s="43">
        <v>3</v>
      </c>
      <c r="P142" s="43">
        <v>16</v>
      </c>
      <c r="Q142" s="47">
        <f t="shared" si="19"/>
        <v>48</v>
      </c>
      <c r="R142" s="46" t="s">
        <v>158</v>
      </c>
    </row>
    <row r="143" spans="2:18" x14ac:dyDescent="0.25">
      <c r="B143" s="41" t="str">
        <f>IF(C143&lt;&gt;"","1.10.6","")</f>
        <v>1.10.6</v>
      </c>
      <c r="C143" s="43" t="s">
        <v>24</v>
      </c>
      <c r="D143" s="43" t="s">
        <v>9</v>
      </c>
      <c r="E143" s="43" t="s">
        <v>19</v>
      </c>
      <c r="F143" s="43">
        <v>4</v>
      </c>
      <c r="G143" s="43">
        <v>8</v>
      </c>
      <c r="H143" s="45">
        <f t="shared" si="18"/>
        <v>32</v>
      </c>
      <c r="I143" s="46" t="s">
        <v>159</v>
      </c>
      <c r="J143" s="5"/>
      <c r="K143" s="37" t="str">
        <f>IF(L143&lt;&gt;"",$K$15&amp;".6","")</f>
        <v>1.20.6</v>
      </c>
      <c r="L143" s="43" t="s">
        <v>24</v>
      </c>
      <c r="M143" s="43" t="s">
        <v>9</v>
      </c>
      <c r="N143" s="43" t="s">
        <v>19</v>
      </c>
      <c r="O143" s="43">
        <v>4</v>
      </c>
      <c r="P143" s="43">
        <v>8</v>
      </c>
      <c r="Q143" s="47">
        <f t="shared" si="19"/>
        <v>32</v>
      </c>
      <c r="R143" s="46" t="s">
        <v>159</v>
      </c>
    </row>
    <row r="144" spans="2:18" x14ac:dyDescent="0.25">
      <c r="B144" s="41" t="str">
        <f>IF(C144&lt;&gt;"","1.10.7","")</f>
        <v>1.10.7</v>
      </c>
      <c r="C144" s="43" t="s">
        <v>26</v>
      </c>
      <c r="D144" s="43" t="s">
        <v>9</v>
      </c>
      <c r="E144" s="43" t="s">
        <v>19</v>
      </c>
      <c r="F144" s="43">
        <v>2</v>
      </c>
      <c r="G144" s="43">
        <v>55</v>
      </c>
      <c r="H144" s="45">
        <f t="shared" si="18"/>
        <v>110</v>
      </c>
      <c r="I144" s="46" t="s">
        <v>160</v>
      </c>
      <c r="J144" s="5"/>
      <c r="K144" s="37" t="str">
        <f>IF(L144&lt;&gt;"",$K$15&amp;".7","")</f>
        <v>1.20.7</v>
      </c>
      <c r="L144" s="43" t="s">
        <v>26</v>
      </c>
      <c r="M144" s="43" t="s">
        <v>9</v>
      </c>
      <c r="N144" s="43" t="s">
        <v>19</v>
      </c>
      <c r="O144" s="43">
        <v>2</v>
      </c>
      <c r="P144" s="43">
        <v>55</v>
      </c>
      <c r="Q144" s="47">
        <f t="shared" si="19"/>
        <v>110</v>
      </c>
      <c r="R144" s="46" t="s">
        <v>160</v>
      </c>
    </row>
    <row r="145" spans="2:18" x14ac:dyDescent="0.25">
      <c r="B145" s="41" t="str">
        <f>IF(C145&lt;&gt;"","1.10.8","")</f>
        <v>1.10.8</v>
      </c>
      <c r="C145" s="43" t="s">
        <v>25</v>
      </c>
      <c r="D145" s="43" t="s">
        <v>9</v>
      </c>
      <c r="E145" s="43" t="s">
        <v>19</v>
      </c>
      <c r="F145" s="43">
        <v>6</v>
      </c>
      <c r="G145" s="43">
        <v>80</v>
      </c>
      <c r="H145" s="45">
        <f t="shared" si="18"/>
        <v>480</v>
      </c>
      <c r="I145" s="46" t="s">
        <v>161</v>
      </c>
      <c r="J145" s="5"/>
      <c r="K145" s="37" t="str">
        <f>IF(L145&lt;&gt;"",$K$15&amp;".8","")</f>
        <v>1.20.8</v>
      </c>
      <c r="L145" s="43" t="s">
        <v>25</v>
      </c>
      <c r="M145" s="43" t="s">
        <v>9</v>
      </c>
      <c r="N145" s="43" t="s">
        <v>19</v>
      </c>
      <c r="O145" s="43">
        <v>6</v>
      </c>
      <c r="P145" s="43">
        <v>80</v>
      </c>
      <c r="Q145" s="47">
        <f t="shared" si="19"/>
        <v>480</v>
      </c>
      <c r="R145" s="46" t="s">
        <v>161</v>
      </c>
    </row>
    <row r="146" spans="2:18" x14ac:dyDescent="0.25">
      <c r="B146" s="41" t="str">
        <f>IF(C146&lt;&gt;"","1.10.9","")</f>
        <v>1.10.9</v>
      </c>
      <c r="C146" s="43" t="s">
        <v>27</v>
      </c>
      <c r="D146" s="43" t="s">
        <v>9</v>
      </c>
      <c r="E146" s="43" t="s">
        <v>19</v>
      </c>
      <c r="F146" s="43">
        <v>9</v>
      </c>
      <c r="G146" s="43">
        <v>90</v>
      </c>
      <c r="H146" s="45">
        <f t="shared" si="18"/>
        <v>810</v>
      </c>
      <c r="I146" s="46" t="s">
        <v>162</v>
      </c>
      <c r="J146" s="5"/>
      <c r="K146" s="37" t="str">
        <f>IF(L146&lt;&gt;"",$K$15&amp;".9","")</f>
        <v>1.20.9</v>
      </c>
      <c r="L146" s="43" t="s">
        <v>27</v>
      </c>
      <c r="M146" s="43" t="s">
        <v>9</v>
      </c>
      <c r="N146" s="43" t="s">
        <v>19</v>
      </c>
      <c r="O146" s="43">
        <v>9</v>
      </c>
      <c r="P146" s="43">
        <v>90</v>
      </c>
      <c r="Q146" s="47">
        <f t="shared" si="19"/>
        <v>810</v>
      </c>
      <c r="R146" s="46" t="s">
        <v>162</v>
      </c>
    </row>
    <row r="147" spans="2:18" ht="15.75" thickBot="1" x14ac:dyDescent="0.3">
      <c r="B147" s="42" t="str">
        <f>IF(C147&lt;&gt;"","1.10.10","")</f>
        <v>1.10.10</v>
      </c>
      <c r="C147" s="44" t="s">
        <v>28</v>
      </c>
      <c r="D147" s="44" t="s">
        <v>9</v>
      </c>
      <c r="E147" s="44" t="s">
        <v>19</v>
      </c>
      <c r="F147" s="44">
        <v>7</v>
      </c>
      <c r="G147" s="44">
        <v>110</v>
      </c>
      <c r="H147" s="48">
        <f t="shared" si="18"/>
        <v>770</v>
      </c>
      <c r="I147" s="49" t="s">
        <v>163</v>
      </c>
      <c r="J147" s="5"/>
      <c r="K147" s="38" t="str">
        <f>IF(L147&lt;&gt;"",$K$15&amp;".10","")</f>
        <v>1.20.10</v>
      </c>
      <c r="L147" s="44" t="s">
        <v>28</v>
      </c>
      <c r="M147" s="44" t="s">
        <v>9</v>
      </c>
      <c r="N147" s="44" t="s">
        <v>19</v>
      </c>
      <c r="O147" s="44">
        <v>7</v>
      </c>
      <c r="P147" s="44">
        <v>110</v>
      </c>
      <c r="Q147" s="50">
        <f t="shared" si="19"/>
        <v>770</v>
      </c>
      <c r="R147" s="49" t="s">
        <v>163</v>
      </c>
    </row>
  </sheetData>
  <mergeCells count="61">
    <mergeCell ref="K19:R19"/>
    <mergeCell ref="B2:R2"/>
    <mergeCell ref="L10:O10"/>
    <mergeCell ref="L11:O11"/>
    <mergeCell ref="L12:O12"/>
    <mergeCell ref="L13:O13"/>
    <mergeCell ref="L14:O14"/>
    <mergeCell ref="L15:O15"/>
    <mergeCell ref="C5:F5"/>
    <mergeCell ref="C8:F8"/>
    <mergeCell ref="K4:R4"/>
    <mergeCell ref="C6:F6"/>
    <mergeCell ref="C7:F7"/>
    <mergeCell ref="L6:O6"/>
    <mergeCell ref="L5:O5"/>
    <mergeCell ref="L7:O7"/>
    <mergeCell ref="B123:I123"/>
    <mergeCell ref="B32:I32"/>
    <mergeCell ref="B45:I45"/>
    <mergeCell ref="B58:I58"/>
    <mergeCell ref="B110:I110"/>
    <mergeCell ref="C14:F14"/>
    <mergeCell ref="C15:F15"/>
    <mergeCell ref="C9:F9"/>
    <mergeCell ref="C10:F10"/>
    <mergeCell ref="C11:F11"/>
    <mergeCell ref="C12:F12"/>
    <mergeCell ref="C13:F13"/>
    <mergeCell ref="L8:O8"/>
    <mergeCell ref="L9:O9"/>
    <mergeCell ref="B19:I19"/>
    <mergeCell ref="B4:I4"/>
    <mergeCell ref="B136:I136"/>
    <mergeCell ref="B17:I17"/>
    <mergeCell ref="K17:R17"/>
    <mergeCell ref="K32:R32"/>
    <mergeCell ref="K45:R45"/>
    <mergeCell ref="K58:R58"/>
    <mergeCell ref="K71:R71"/>
    <mergeCell ref="K84:R84"/>
    <mergeCell ref="K97:R97"/>
    <mergeCell ref="K110:R110"/>
    <mergeCell ref="K123:R123"/>
    <mergeCell ref="K136:R136"/>
    <mergeCell ref="B71:I71"/>
    <mergeCell ref="B84:I84"/>
    <mergeCell ref="B97:I97"/>
    <mergeCell ref="T4:V4"/>
    <mergeCell ref="T32:V32"/>
    <mergeCell ref="T34:T36"/>
    <mergeCell ref="U34:U36"/>
    <mergeCell ref="V34:V36"/>
    <mergeCell ref="T43:T45"/>
    <mergeCell ref="U43:U45"/>
    <mergeCell ref="V43:V45"/>
    <mergeCell ref="T37:T39"/>
    <mergeCell ref="U37:U39"/>
    <mergeCell ref="V37:V39"/>
    <mergeCell ref="T40:T42"/>
    <mergeCell ref="U40:U42"/>
    <mergeCell ref="V40:V42"/>
  </mergeCells>
  <phoneticPr fontId="4" type="noConversion"/>
  <conditionalFormatting sqref="B19:I30">
    <cfRule type="expression" dxfId="52" priority="24">
      <formula>$B$19=""</formula>
    </cfRule>
  </conditionalFormatting>
  <conditionalFormatting sqref="B32:I43">
    <cfRule type="expression" dxfId="51" priority="23">
      <formula>$B$32=""</formula>
    </cfRule>
  </conditionalFormatting>
  <conditionalFormatting sqref="B45:I56">
    <cfRule type="expression" dxfId="50" priority="20">
      <formula>$C$8=""</formula>
    </cfRule>
    <cfRule type="expression" dxfId="49" priority="21">
      <formula>B45=""</formula>
    </cfRule>
  </conditionalFormatting>
  <conditionalFormatting sqref="B58:I69">
    <cfRule type="expression" dxfId="48" priority="18">
      <formula>$C$9=""</formula>
    </cfRule>
  </conditionalFormatting>
  <conditionalFormatting sqref="B71:I82">
    <cfRule type="expression" dxfId="47" priority="16">
      <formula>$C$10=""</formula>
    </cfRule>
  </conditionalFormatting>
  <conditionalFormatting sqref="B84:I95">
    <cfRule type="expression" dxfId="46" priority="15">
      <formula>$C$11=""</formula>
    </cfRule>
  </conditionalFormatting>
  <conditionalFormatting sqref="B97:I108">
    <cfRule type="expression" dxfId="45" priority="14">
      <formula>$C$12=""</formula>
    </cfRule>
  </conditionalFormatting>
  <conditionalFormatting sqref="B110:I121">
    <cfRule type="expression" dxfId="44" priority="13">
      <formula>$C$13=""</formula>
    </cfRule>
  </conditionalFormatting>
  <conditionalFormatting sqref="B123:I134">
    <cfRule type="expression" dxfId="43" priority="12">
      <formula>$C$14=""</formula>
    </cfRule>
  </conditionalFormatting>
  <conditionalFormatting sqref="B136:I147">
    <cfRule type="expression" dxfId="42" priority="11">
      <formula>$C$15=""</formula>
    </cfRule>
  </conditionalFormatting>
  <conditionalFormatting sqref="K19:R30">
    <cfRule type="expression" dxfId="41" priority="10">
      <formula>$L$6=""</formula>
    </cfRule>
  </conditionalFormatting>
  <conditionalFormatting sqref="K32:R43">
    <cfRule type="expression" dxfId="40" priority="9">
      <formula>$L$7=""</formula>
    </cfRule>
  </conditionalFormatting>
  <conditionalFormatting sqref="K45:R56">
    <cfRule type="expression" dxfId="39" priority="8">
      <formula>$L$8=""</formula>
    </cfRule>
  </conditionalFormatting>
  <conditionalFormatting sqref="K58:R69">
    <cfRule type="expression" dxfId="38" priority="7">
      <formula>$L$9=""</formula>
    </cfRule>
  </conditionalFormatting>
  <conditionalFormatting sqref="K71:R82">
    <cfRule type="expression" dxfId="37" priority="6">
      <formula>$L$10=""</formula>
    </cfRule>
  </conditionalFormatting>
  <conditionalFormatting sqref="K84:R95">
    <cfRule type="expression" dxfId="36" priority="5">
      <formula>$L$11=""</formula>
    </cfRule>
  </conditionalFormatting>
  <conditionalFormatting sqref="K97:R108">
    <cfRule type="expression" dxfId="35" priority="4">
      <formula>$L$12=""</formula>
    </cfRule>
  </conditionalFormatting>
  <conditionalFormatting sqref="K110:R121">
    <cfRule type="expression" dxfId="34" priority="3">
      <formula>$L$13=""</formula>
    </cfRule>
  </conditionalFormatting>
  <conditionalFormatting sqref="K123:R134">
    <cfRule type="expression" dxfId="33" priority="2">
      <formula>$L$14=""</formula>
    </cfRule>
  </conditionalFormatting>
  <conditionalFormatting sqref="K136:R147">
    <cfRule type="expression" dxfId="32" priority="1">
      <formula>$L$15=""</formula>
    </cfRule>
  </conditionalFormatting>
  <dataValidations count="1">
    <dataValidation type="decimal" operator="greaterThanOrEqual" allowBlank="1" showInputMessage="1" showErrorMessage="1" errorTitle="Błąd" error="Podaj liczbę" sqref="F21:G30 F138:G147 F34:G43 F47:G56 F60:G69 F73:G82 F86:G95 F99:G108 F112:G121 F125:G134 O21:P30 O125:P134 O34:P43 O47:P56 O60:P69 O73:P82 O86:P95 O99:P108 O112:P121 O138:P147" xr:uid="{DC131089-25BC-4BE8-B2C7-1AB75F563DC4}">
      <formula1>0</formula1>
    </dataValidation>
  </dataValidations>
  <pageMargins left="0.7" right="0.7" top="0.75" bottom="0.75" header="0.3" footer="0.3"/>
  <pageSetup paperSize="9" orientation="portrait" r:id="rId1"/>
  <ignoredErrors>
    <ignoredError sqref="B21:B30 B34:B43 B47:B56 B60:B69 B73:B82 B86:B95 B99:B108 B112:B121 B125:B134 B138:B147" twoDigitTextYear="1"/>
  </ignoredErrors>
  <extLst>
    <ext xmlns:x14="http://schemas.microsoft.com/office/spreadsheetml/2009/9/main" uri="{CCE6A557-97BC-4b89-ADB6-D9C93CAAB3DF}">
      <x14:dataValidations xmlns:xm="http://schemas.microsoft.com/office/excel/2006/main" count="3">
        <x14:dataValidation type="list" allowBlank="1" showInputMessage="1" showErrorMessage="1" errorTitle="Błąd" error="Nieznana kategoria wydatku" promptTitle="Wybierz z listy:" prompt="n/d_x000a_godzina_x000a_szt." xr:uid="{5A4F70EF-E058-4E85-968B-3ECD01DD0A10}">
          <x14:formula1>
            <xm:f>Robocze!$C$3:$C$9</xm:f>
          </x14:formula1>
          <xm:sqref>E138:E147 E21:E30 E34:E43 E47:E56 E60:E69 E73:E82 E86:E95 E99:E108 E112:E121 E125:E134 N21:N30 N125:N134 N34:N43 N47:N56 N60:N69 N73:N82 N86:N95 N99:N108 N112:N121 N138:N147</xm:sqref>
        </x14:dataValidation>
        <x14:dataValidation type="list" allowBlank="1" showInputMessage="1" showErrorMessage="1" errorTitle="Błąd" error="Nieznana kategoria wydatku" promptTitle="Wybierz z listy:" prompt="wynagrodzenia_x000a_usługi obce_x000a_materiały" xr:uid="{78AC13F1-EA33-458A-B2E3-1FC4EFE032DF}">
          <x14:formula1>
            <xm:f>Robocze!$B$3:$B$6</xm:f>
          </x14:formula1>
          <xm:sqref>D138:D147 D21:D30 D34:D43 D47:D56 D60:D69 D73:D82 D86:D95 D99:D108 D112:D121 D125:D134 M21:M30 M125:M134 M34:M43 M47:M56 M60:M69 M73:M82 M86:M95 M99:M108 M112:M121 M138:M147</xm:sqref>
        </x14:dataValidation>
        <x14:dataValidation type="list" allowBlank="1" showInputMessage="1" showErrorMessage="1" errorTitle="Uwaga" error="Wybierz z listy" promptTitle="Uwaga" prompt="Wybierz z listy" xr:uid="{2B49A929-332C-4A36-AF96-FD68903C631D}">
          <x14:formula1>
            <xm:f>Robocze!$D$3:$D$5</xm:f>
          </x14:formula1>
          <xm:sqref>U34 U37 U40 U43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FAF63-2C35-4FD8-A5DD-D1A38CA943C0}">
  <dimension ref="B1:V147"/>
  <sheetViews>
    <sheetView zoomScale="80" zoomScaleNormal="80" workbookViewId="0">
      <selection activeCell="N36" sqref="N36"/>
    </sheetView>
  </sheetViews>
  <sheetFormatPr defaultColWidth="30.85546875" defaultRowHeight="15" x14ac:dyDescent="0.25"/>
  <cols>
    <col min="1" max="1" width="5.5703125" style="3" customWidth="1"/>
    <col min="2" max="2" width="12.5703125" style="3" customWidth="1"/>
    <col min="3" max="3" width="36.140625" style="3" customWidth="1"/>
    <col min="4" max="4" width="17.7109375" style="3" bestFit="1" customWidth="1"/>
    <col min="5" max="5" width="17.42578125" style="3" bestFit="1" customWidth="1"/>
    <col min="6" max="6" width="17.85546875" style="3" bestFit="1" customWidth="1"/>
    <col min="7" max="7" width="15.85546875" style="3" bestFit="1" customWidth="1"/>
    <col min="8" max="8" width="17.7109375" style="3" bestFit="1" customWidth="1"/>
    <col min="9" max="9" width="19.42578125" style="3" bestFit="1" customWidth="1"/>
    <col min="10" max="10" width="5" style="3" customWidth="1"/>
    <col min="11" max="11" width="15.140625" style="3" customWidth="1"/>
    <col min="12" max="12" width="32.140625" style="3" customWidth="1"/>
    <col min="13" max="13" width="17.7109375" style="3" bestFit="1" customWidth="1"/>
    <col min="14" max="14" width="18.5703125" style="3" customWidth="1"/>
    <col min="15" max="15" width="17.85546875" style="3" bestFit="1" customWidth="1"/>
    <col min="16" max="16" width="15.7109375" style="3" bestFit="1" customWidth="1"/>
    <col min="17" max="17" width="17.7109375" style="3" bestFit="1" customWidth="1"/>
    <col min="18" max="18" width="19.42578125" style="3" bestFit="1" customWidth="1"/>
    <col min="19" max="19" width="30.85546875" style="3"/>
    <col min="20" max="20" width="52" style="3" customWidth="1"/>
    <col min="21" max="21" width="44.28515625" style="3" customWidth="1"/>
    <col min="22" max="22" width="47.7109375" style="3" customWidth="1"/>
    <col min="23" max="16384" width="30.85546875" style="3"/>
  </cols>
  <sheetData>
    <row r="1" spans="2:22" ht="15.75" thickBot="1" x14ac:dyDescent="0.3"/>
    <row r="2" spans="2:22" ht="27" thickBot="1" x14ac:dyDescent="0.45">
      <c r="B2" s="144" t="s">
        <v>34</v>
      </c>
      <c r="C2" s="145"/>
      <c r="D2" s="145"/>
      <c r="E2" s="145"/>
      <c r="F2" s="145"/>
      <c r="G2" s="145"/>
      <c r="H2" s="145"/>
      <c r="I2" s="145"/>
      <c r="J2" s="145"/>
      <c r="K2" s="145"/>
      <c r="L2" s="145"/>
      <c r="M2" s="145"/>
      <c r="N2" s="145"/>
      <c r="O2" s="145"/>
      <c r="P2" s="145"/>
      <c r="Q2" s="145"/>
      <c r="R2" s="146"/>
    </row>
    <row r="3" spans="2:22" ht="15.75" thickBot="1" x14ac:dyDescent="0.3"/>
    <row r="4" spans="2:22" ht="18.75" x14ac:dyDescent="0.3">
      <c r="B4" s="115" t="s">
        <v>0</v>
      </c>
      <c r="C4" s="116"/>
      <c r="D4" s="116"/>
      <c r="E4" s="116"/>
      <c r="F4" s="116"/>
      <c r="G4" s="116"/>
      <c r="H4" s="116"/>
      <c r="I4" s="117"/>
      <c r="K4" s="151" t="s">
        <v>30</v>
      </c>
      <c r="L4" s="152"/>
      <c r="M4" s="152"/>
      <c r="N4" s="152"/>
      <c r="O4" s="152"/>
      <c r="P4" s="152"/>
      <c r="Q4" s="152"/>
      <c r="R4" s="153"/>
      <c r="T4" s="112" t="s">
        <v>176</v>
      </c>
      <c r="U4" s="113"/>
      <c r="V4" s="114"/>
    </row>
    <row r="5" spans="2:22" x14ac:dyDescent="0.25">
      <c r="B5" s="11" t="s">
        <v>33</v>
      </c>
      <c r="C5" s="150" t="s">
        <v>2</v>
      </c>
      <c r="D5" s="150"/>
      <c r="E5" s="150"/>
      <c r="F5" s="150"/>
      <c r="G5" s="86" t="s">
        <v>18</v>
      </c>
      <c r="H5" s="86" t="s">
        <v>44</v>
      </c>
      <c r="I5" s="12" t="s">
        <v>45</v>
      </c>
      <c r="K5" s="39" t="s">
        <v>33</v>
      </c>
      <c r="L5" s="154" t="s">
        <v>2</v>
      </c>
      <c r="M5" s="154"/>
      <c r="N5" s="154"/>
      <c r="O5" s="154"/>
      <c r="P5" s="88" t="s">
        <v>18</v>
      </c>
      <c r="Q5" s="88" t="s">
        <v>44</v>
      </c>
      <c r="R5" s="40" t="s">
        <v>45</v>
      </c>
      <c r="T5" s="55" t="s">
        <v>177</v>
      </c>
      <c r="U5" s="54" t="s">
        <v>174</v>
      </c>
      <c r="V5" s="56" t="s">
        <v>165</v>
      </c>
    </row>
    <row r="6" spans="2:22" x14ac:dyDescent="0.25">
      <c r="B6" s="9" t="str">
        <f>IF(C6&lt;&gt;"","2."&amp;1,"")</f>
        <v>2.1</v>
      </c>
      <c r="C6" s="134" t="s">
        <v>211</v>
      </c>
      <c r="D6" s="134"/>
      <c r="E6" s="134"/>
      <c r="F6" s="134"/>
      <c r="G6" s="45">
        <f>IF(C6&lt;&gt;"",SUM('Etap 2'!H21:H30),"")</f>
        <v>2796</v>
      </c>
      <c r="H6" s="91">
        <v>43952</v>
      </c>
      <c r="I6" s="98">
        <v>43952</v>
      </c>
      <c r="K6" s="37" t="str">
        <f>IF(L6&lt;&gt;"","2."&amp; 10-COUNTBLANK(B6:B15)+1,"")</f>
        <v>2.11</v>
      </c>
      <c r="L6" s="130" t="s">
        <v>221</v>
      </c>
      <c r="M6" s="130"/>
      <c r="N6" s="130"/>
      <c r="O6" s="130"/>
      <c r="P6" s="47">
        <f>IF(L6&lt;&gt;"",SUM(Q21:Q30),"")</f>
        <v>2796</v>
      </c>
      <c r="Q6" s="91">
        <v>43952</v>
      </c>
      <c r="R6" s="98">
        <v>43952</v>
      </c>
      <c r="T6" s="57"/>
      <c r="U6" s="51"/>
      <c r="V6" s="59"/>
    </row>
    <row r="7" spans="2:22" x14ac:dyDescent="0.25">
      <c r="B7" s="9" t="str">
        <f>IF(C7&lt;&gt;"","2."&amp;2,"")</f>
        <v>2.2</v>
      </c>
      <c r="C7" s="134" t="s">
        <v>212</v>
      </c>
      <c r="D7" s="134"/>
      <c r="E7" s="134"/>
      <c r="F7" s="134"/>
      <c r="G7" s="45">
        <f>IF(C7&lt;&gt;"",SUM('Etap 2'!H34:H43),"")</f>
        <v>2796</v>
      </c>
      <c r="H7" s="91">
        <v>43953</v>
      </c>
      <c r="I7" s="98">
        <v>43953</v>
      </c>
      <c r="K7" s="37" t="str">
        <f>IF(L7&lt;&gt;"","2."&amp; 10-COUNTBLANK(B6:B15)+2,"")</f>
        <v>2.12</v>
      </c>
      <c r="L7" s="130" t="s">
        <v>222</v>
      </c>
      <c r="M7" s="130"/>
      <c r="N7" s="130"/>
      <c r="O7" s="130"/>
      <c r="P7" s="47">
        <f>IF(L7&lt;&gt;"",SUM(Q34:Q43),"")</f>
        <v>2796</v>
      </c>
      <c r="Q7" s="91">
        <v>43953</v>
      </c>
      <c r="R7" s="98">
        <v>43953</v>
      </c>
      <c r="T7" s="57"/>
      <c r="U7" s="51"/>
      <c r="V7" s="59"/>
    </row>
    <row r="8" spans="2:22" x14ac:dyDescent="0.25">
      <c r="B8" s="9" t="str">
        <f>IF(C8&lt;&gt;"","2."&amp;3,"")</f>
        <v>2.3</v>
      </c>
      <c r="C8" s="134" t="s">
        <v>213</v>
      </c>
      <c r="D8" s="134"/>
      <c r="E8" s="134"/>
      <c r="F8" s="134"/>
      <c r="G8" s="45">
        <f>IF(C8&lt;&gt;"",SUM('Etap 2'!H47:H56),"")</f>
        <v>2796</v>
      </c>
      <c r="H8" s="91">
        <v>43954</v>
      </c>
      <c r="I8" s="98">
        <v>43954</v>
      </c>
      <c r="K8" s="37" t="str">
        <f>IF(L8&lt;&gt;"","2."&amp; 10-COUNTBLANK(B6:B15)+3,"")</f>
        <v>2.13</v>
      </c>
      <c r="L8" s="141" t="s">
        <v>223</v>
      </c>
      <c r="M8" s="142"/>
      <c r="N8" s="142"/>
      <c r="O8" s="143"/>
      <c r="P8" s="47">
        <f>IF(L8&lt;&gt;"",SUM(Q47:Q56),"")</f>
        <v>2796</v>
      </c>
      <c r="Q8" s="91">
        <v>43954</v>
      </c>
      <c r="R8" s="98">
        <v>43954</v>
      </c>
      <c r="T8" s="57"/>
      <c r="U8" s="51"/>
      <c r="V8" s="59"/>
    </row>
    <row r="9" spans="2:22" x14ac:dyDescent="0.25">
      <c r="B9" s="9" t="str">
        <f>IF(C9&lt;&gt;"","2."&amp;4,"")</f>
        <v>2.4</v>
      </c>
      <c r="C9" s="134" t="s">
        <v>214</v>
      </c>
      <c r="D9" s="134"/>
      <c r="E9" s="134"/>
      <c r="F9" s="134"/>
      <c r="G9" s="45">
        <f>IF(C9&lt;&gt;"",SUM('Etap 2'!H60:H69),"")</f>
        <v>2796</v>
      </c>
      <c r="H9" s="91">
        <v>43955</v>
      </c>
      <c r="I9" s="98">
        <v>43955</v>
      </c>
      <c r="K9" s="37" t="str">
        <f>IF(L9&lt;&gt;"","2."&amp; 10-COUNTBLANK(B6:B15)+4,"")</f>
        <v>2.14</v>
      </c>
      <c r="L9" s="141" t="s">
        <v>224</v>
      </c>
      <c r="M9" s="142"/>
      <c r="N9" s="142"/>
      <c r="O9" s="143"/>
      <c r="P9" s="47">
        <f>IF(L9&lt;&gt;"",SUM(Q60:Q69),"")</f>
        <v>2796</v>
      </c>
      <c r="Q9" s="91">
        <v>43955</v>
      </c>
      <c r="R9" s="98">
        <v>43955</v>
      </c>
      <c r="T9" s="57"/>
      <c r="U9" s="51"/>
      <c r="V9" s="59"/>
    </row>
    <row r="10" spans="2:22" x14ac:dyDescent="0.25">
      <c r="B10" s="9" t="str">
        <f>IF(C10&lt;&gt;"","2."&amp;5,"")</f>
        <v>2.5</v>
      </c>
      <c r="C10" s="134" t="s">
        <v>215</v>
      </c>
      <c r="D10" s="134"/>
      <c r="E10" s="134"/>
      <c r="F10" s="134"/>
      <c r="G10" s="45">
        <f>IF(C10&lt;&gt;"",SUM('Etap 2'!H73:H82),"")</f>
        <v>2796</v>
      </c>
      <c r="H10" s="91">
        <v>43956</v>
      </c>
      <c r="I10" s="98">
        <v>43956</v>
      </c>
      <c r="K10" s="37" t="str">
        <f>IF(L10&lt;&gt;"","2."&amp; 10-COUNTBLANK(B6:B15)+5,"")</f>
        <v>2.15</v>
      </c>
      <c r="L10" s="141" t="s">
        <v>225</v>
      </c>
      <c r="M10" s="142"/>
      <c r="N10" s="142"/>
      <c r="O10" s="143"/>
      <c r="P10" s="47">
        <f>IF(L10&lt;&gt;"",SUM(Q73:Q82),"")</f>
        <v>2796</v>
      </c>
      <c r="Q10" s="91">
        <v>43956</v>
      </c>
      <c r="R10" s="98">
        <v>43956</v>
      </c>
      <c r="T10" s="57"/>
      <c r="U10" s="51"/>
      <c r="V10" s="59"/>
    </row>
    <row r="11" spans="2:22" x14ac:dyDescent="0.25">
      <c r="B11" s="9" t="str">
        <f>IF(C11&lt;&gt;"","2."&amp;6,"")</f>
        <v>2.6</v>
      </c>
      <c r="C11" s="134" t="s">
        <v>216</v>
      </c>
      <c r="D11" s="134"/>
      <c r="E11" s="134"/>
      <c r="F11" s="134"/>
      <c r="G11" s="45">
        <f>IF(C11&lt;&gt;"",SUM('Etap 2'!H86:H95),"")</f>
        <v>2796</v>
      </c>
      <c r="H11" s="91">
        <v>43957</v>
      </c>
      <c r="I11" s="98">
        <v>43957</v>
      </c>
      <c r="K11" s="37" t="str">
        <f>IF(L11&lt;&gt;"","2."&amp; 10-COUNTBLANK(B6:B15)+6,"")</f>
        <v>2.16</v>
      </c>
      <c r="L11" s="141" t="s">
        <v>226</v>
      </c>
      <c r="M11" s="142"/>
      <c r="N11" s="142"/>
      <c r="O11" s="143"/>
      <c r="P11" s="47">
        <f>IF(L11&lt;&gt;"",SUM(Q86:Q95),"")</f>
        <v>2796</v>
      </c>
      <c r="Q11" s="91">
        <v>43957</v>
      </c>
      <c r="R11" s="98">
        <v>43957</v>
      </c>
      <c r="T11" s="57"/>
      <c r="U11" s="51"/>
      <c r="V11" s="59"/>
    </row>
    <row r="12" spans="2:22" x14ac:dyDescent="0.25">
      <c r="B12" s="9" t="str">
        <f>IF(C12&lt;&gt;"","2."&amp;7,"")</f>
        <v>2.7</v>
      </c>
      <c r="C12" s="134" t="s">
        <v>217</v>
      </c>
      <c r="D12" s="134"/>
      <c r="E12" s="134"/>
      <c r="F12" s="134"/>
      <c r="G12" s="45">
        <f>IF(C12&lt;&gt;"",SUM('Etap 2'!H99:H108),"")</f>
        <v>2796</v>
      </c>
      <c r="H12" s="91">
        <v>43958</v>
      </c>
      <c r="I12" s="98">
        <v>43958</v>
      </c>
      <c r="K12" s="37" t="str">
        <f>IF(L12&lt;&gt;"","2."&amp; 10-COUNTBLANK(B6:B15)+7,"")</f>
        <v>2.17</v>
      </c>
      <c r="L12" s="141" t="s">
        <v>227</v>
      </c>
      <c r="M12" s="142"/>
      <c r="N12" s="142"/>
      <c r="O12" s="143"/>
      <c r="P12" s="47">
        <f>IF(L12&lt;&gt;"",SUM(Q99:Q108),"")</f>
        <v>2796</v>
      </c>
      <c r="Q12" s="91">
        <v>43958</v>
      </c>
      <c r="R12" s="98">
        <v>43958</v>
      </c>
      <c r="T12" s="57"/>
      <c r="U12" s="51"/>
      <c r="V12" s="59"/>
    </row>
    <row r="13" spans="2:22" x14ac:dyDescent="0.25">
      <c r="B13" s="9" t="str">
        <f>IF(C13&lt;&gt;"","2."&amp;8,"")</f>
        <v>2.8</v>
      </c>
      <c r="C13" s="134" t="s">
        <v>218</v>
      </c>
      <c r="D13" s="134"/>
      <c r="E13" s="134"/>
      <c r="F13" s="134"/>
      <c r="G13" s="45">
        <f>IF(C13&lt;&gt;"",SUM('Etap 2'!H112:H121),"")</f>
        <v>2796</v>
      </c>
      <c r="H13" s="91">
        <v>43959</v>
      </c>
      <c r="I13" s="98">
        <v>43959</v>
      </c>
      <c r="K13" s="37" t="str">
        <f>IF(L13&lt;&gt;"","2."&amp; 10-COUNTBLANK(B6:B15)+8,"")</f>
        <v>2.18</v>
      </c>
      <c r="L13" s="141" t="s">
        <v>228</v>
      </c>
      <c r="M13" s="142"/>
      <c r="N13" s="142"/>
      <c r="O13" s="143"/>
      <c r="P13" s="47">
        <f>IF(L13&lt;&gt;"",SUM(Q112:Q121),"")</f>
        <v>2796</v>
      </c>
      <c r="Q13" s="91">
        <v>43959</v>
      </c>
      <c r="R13" s="98">
        <v>43959</v>
      </c>
      <c r="T13" s="57"/>
      <c r="U13" s="51"/>
      <c r="V13" s="59"/>
    </row>
    <row r="14" spans="2:22" x14ac:dyDescent="0.25">
      <c r="B14" s="9" t="str">
        <f>IF(C14&lt;&gt;"","2."&amp;9,"")</f>
        <v>2.9</v>
      </c>
      <c r="C14" s="134" t="s">
        <v>219</v>
      </c>
      <c r="D14" s="134"/>
      <c r="E14" s="134"/>
      <c r="F14" s="134"/>
      <c r="G14" s="45">
        <f>IF(C14&lt;&gt;"",SUM('Etap 2'!H125:H134),"")</f>
        <v>2796</v>
      </c>
      <c r="H14" s="91">
        <v>43960</v>
      </c>
      <c r="I14" s="98">
        <v>43960</v>
      </c>
      <c r="K14" s="37" t="str">
        <f>IF(L14&lt;&gt;"","2."&amp; 10-COUNTBLANK(B6:B15)+9,"")</f>
        <v>2.19</v>
      </c>
      <c r="L14" s="141" t="s">
        <v>229</v>
      </c>
      <c r="M14" s="142"/>
      <c r="N14" s="142"/>
      <c r="O14" s="143"/>
      <c r="P14" s="47">
        <f>IF(L14&lt;&gt;"",SUM(Q125:Q134),"")</f>
        <v>2796</v>
      </c>
      <c r="Q14" s="91">
        <v>43960</v>
      </c>
      <c r="R14" s="98">
        <v>43960</v>
      </c>
      <c r="T14" s="57"/>
      <c r="U14" s="51"/>
      <c r="V14" s="59"/>
    </row>
    <row r="15" spans="2:22" ht="15.75" thickBot="1" x14ac:dyDescent="0.3">
      <c r="B15" s="10" t="str">
        <f>IF(C15&lt;&gt;"","2."&amp;10,"")</f>
        <v>2.10</v>
      </c>
      <c r="C15" s="155" t="s">
        <v>220</v>
      </c>
      <c r="D15" s="155"/>
      <c r="E15" s="155"/>
      <c r="F15" s="155"/>
      <c r="G15" s="48">
        <f>IF(C15&lt;&gt;"",SUM('Etap 2'!H138:H147),"")</f>
        <v>2796</v>
      </c>
      <c r="H15" s="92">
        <v>43961</v>
      </c>
      <c r="I15" s="99">
        <v>44022</v>
      </c>
      <c r="K15" s="38" t="str">
        <f>IF(L15&lt;&gt;"","2."&amp; 10-COUNTBLANK(B6:B15)+10,"")</f>
        <v>2.20</v>
      </c>
      <c r="L15" s="147" t="s">
        <v>230</v>
      </c>
      <c r="M15" s="148"/>
      <c r="N15" s="148"/>
      <c r="O15" s="149"/>
      <c r="P15" s="50">
        <f>IF(L15&lt;&gt;"",SUM(Q138:Q147),"")</f>
        <v>2796</v>
      </c>
      <c r="Q15" s="92">
        <v>43961</v>
      </c>
      <c r="R15" s="99">
        <v>44022</v>
      </c>
      <c r="T15" s="57"/>
      <c r="U15" s="51"/>
      <c r="V15" s="59"/>
    </row>
    <row r="16" spans="2:22" ht="15.75" thickBot="1" x14ac:dyDescent="0.3">
      <c r="T16" s="57"/>
      <c r="U16" s="51"/>
      <c r="V16" s="59"/>
    </row>
    <row r="17" spans="2:22" ht="27" thickBot="1" x14ac:dyDescent="0.3">
      <c r="B17" s="156" t="s">
        <v>29</v>
      </c>
      <c r="C17" s="157"/>
      <c r="D17" s="157"/>
      <c r="E17" s="157"/>
      <c r="F17" s="157"/>
      <c r="G17" s="157"/>
      <c r="H17" s="157"/>
      <c r="I17" s="158"/>
      <c r="K17" s="159" t="s">
        <v>41</v>
      </c>
      <c r="L17" s="160"/>
      <c r="M17" s="160"/>
      <c r="N17" s="160"/>
      <c r="O17" s="160"/>
      <c r="P17" s="160"/>
      <c r="Q17" s="160"/>
      <c r="R17" s="161"/>
    </row>
    <row r="18" spans="2:22" ht="15.75" thickBot="1" x14ac:dyDescent="0.3">
      <c r="T18" s="55" t="s">
        <v>178</v>
      </c>
      <c r="U18" s="54" t="s">
        <v>174</v>
      </c>
      <c r="V18" s="56" t="s">
        <v>165</v>
      </c>
    </row>
    <row r="19" spans="2:22" ht="19.5" thickBot="1" x14ac:dyDescent="0.35">
      <c r="B19" s="118" t="str">
        <f>IF('Etap 2'!$C$6&lt;&gt;"",B6&amp;": "&amp;  'Etap 2'!$C$6,"")</f>
        <v>2.1: Zadanie P2.1</v>
      </c>
      <c r="C19" s="119"/>
      <c r="D19" s="119"/>
      <c r="E19" s="119"/>
      <c r="F19" s="119"/>
      <c r="G19" s="119"/>
      <c r="H19" s="119"/>
      <c r="I19" s="120"/>
      <c r="J19" s="4"/>
      <c r="K19" s="127" t="str">
        <f>IF('Etap 2'!$L$6&lt;&gt;"",K6&amp;": "&amp;  'Etap 2'!$L$6,"")</f>
        <v>2.11: Zadanie T2.1</v>
      </c>
      <c r="L19" s="128"/>
      <c r="M19" s="128"/>
      <c r="N19" s="128"/>
      <c r="O19" s="128"/>
      <c r="P19" s="128"/>
      <c r="Q19" s="128"/>
      <c r="R19" s="129"/>
      <c r="T19" s="57"/>
      <c r="U19" s="51"/>
      <c r="V19" s="59"/>
    </row>
    <row r="20" spans="2:22" ht="15" customHeight="1" x14ac:dyDescent="0.25">
      <c r="B20" s="6" t="s">
        <v>1</v>
      </c>
      <c r="C20" s="7" t="s">
        <v>16</v>
      </c>
      <c r="D20" s="7" t="s">
        <v>3</v>
      </c>
      <c r="E20" s="7" t="s">
        <v>4</v>
      </c>
      <c r="F20" s="7" t="s">
        <v>15</v>
      </c>
      <c r="G20" s="7" t="s">
        <v>5</v>
      </c>
      <c r="H20" s="7" t="s">
        <v>6</v>
      </c>
      <c r="I20" s="8" t="s">
        <v>7</v>
      </c>
      <c r="J20" s="4"/>
      <c r="K20" s="34" t="s">
        <v>1</v>
      </c>
      <c r="L20" s="35" t="s">
        <v>16</v>
      </c>
      <c r="M20" s="35" t="s">
        <v>3</v>
      </c>
      <c r="N20" s="35" t="s">
        <v>4</v>
      </c>
      <c r="O20" s="35" t="s">
        <v>15</v>
      </c>
      <c r="P20" s="35" t="s">
        <v>5</v>
      </c>
      <c r="Q20" s="35" t="s">
        <v>6</v>
      </c>
      <c r="R20" s="36" t="s">
        <v>7</v>
      </c>
      <c r="T20" s="57"/>
      <c r="U20" s="51"/>
      <c r="V20" s="59"/>
    </row>
    <row r="21" spans="2:22" x14ac:dyDescent="0.25">
      <c r="B21" s="41" t="str">
        <f>IF(C21&lt;&gt;"","2.1.1","")</f>
        <v>2.1.1</v>
      </c>
      <c r="C21" s="51" t="s">
        <v>17</v>
      </c>
      <c r="D21" s="51" t="s">
        <v>10</v>
      </c>
      <c r="E21" s="51" t="s">
        <v>19</v>
      </c>
      <c r="F21" s="51">
        <v>5</v>
      </c>
      <c r="G21" s="51">
        <v>50</v>
      </c>
      <c r="H21" s="45">
        <f t="shared" ref="H21:H30" si="0">IF(C21&lt;&gt;"",F21*G21,"")</f>
        <v>250</v>
      </c>
      <c r="I21" s="59" t="s">
        <v>154</v>
      </c>
      <c r="J21" s="5"/>
      <c r="K21" s="37" t="str">
        <f>IF(L21&lt;&gt;"",$K$6&amp;".1","")</f>
        <v>2.11.1</v>
      </c>
      <c r="L21" s="51" t="s">
        <v>17</v>
      </c>
      <c r="M21" s="51" t="s">
        <v>10</v>
      </c>
      <c r="N21" s="51" t="s">
        <v>19</v>
      </c>
      <c r="O21" s="51">
        <v>5</v>
      </c>
      <c r="P21" s="51">
        <v>50</v>
      </c>
      <c r="Q21" s="47">
        <f t="shared" ref="Q21:Q30" si="1">IF(L21&lt;&gt;"",O21*P21,"")</f>
        <v>250</v>
      </c>
      <c r="R21" s="59" t="s">
        <v>154</v>
      </c>
      <c r="T21" s="57"/>
      <c r="U21" s="51"/>
      <c r="V21" s="59"/>
    </row>
    <row r="22" spans="2:22" x14ac:dyDescent="0.25">
      <c r="B22" s="41" t="str">
        <f>IF(C22&lt;&gt;"","2.1.2","")</f>
        <v>2.1.2</v>
      </c>
      <c r="C22" s="51" t="s">
        <v>20</v>
      </c>
      <c r="D22" s="51" t="s">
        <v>11</v>
      </c>
      <c r="E22" s="51" t="s">
        <v>153</v>
      </c>
      <c r="F22" s="51">
        <v>8</v>
      </c>
      <c r="G22" s="51">
        <v>20</v>
      </c>
      <c r="H22" s="45">
        <f t="shared" si="0"/>
        <v>160</v>
      </c>
      <c r="I22" s="59" t="s">
        <v>155</v>
      </c>
      <c r="J22" s="5"/>
      <c r="K22" s="37" t="str">
        <f>IF(L22&lt;&gt;"",$K$6&amp;".2","")</f>
        <v>2.11.2</v>
      </c>
      <c r="L22" s="51" t="s">
        <v>20</v>
      </c>
      <c r="M22" s="51" t="s">
        <v>11</v>
      </c>
      <c r="N22" s="51" t="s">
        <v>13</v>
      </c>
      <c r="O22" s="51">
        <v>8</v>
      </c>
      <c r="P22" s="51">
        <v>20</v>
      </c>
      <c r="Q22" s="47">
        <f t="shared" si="1"/>
        <v>160</v>
      </c>
      <c r="R22" s="59" t="s">
        <v>155</v>
      </c>
      <c r="T22" s="57"/>
      <c r="U22" s="51"/>
      <c r="V22" s="59"/>
    </row>
    <row r="23" spans="2:22" x14ac:dyDescent="0.25">
      <c r="B23" s="41" t="str">
        <f>IF(C23&lt;&gt;"","2.1.3","")</f>
        <v>2.1.3</v>
      </c>
      <c r="C23" s="51" t="s">
        <v>21</v>
      </c>
      <c r="D23" s="51" t="s">
        <v>9</v>
      </c>
      <c r="E23" s="51" t="s">
        <v>19</v>
      </c>
      <c r="F23" s="51">
        <v>5</v>
      </c>
      <c r="G23" s="51">
        <v>8</v>
      </c>
      <c r="H23" s="45">
        <f t="shared" si="0"/>
        <v>40</v>
      </c>
      <c r="I23" s="59" t="s">
        <v>156</v>
      </c>
      <c r="J23" s="5"/>
      <c r="K23" s="37" t="str">
        <f>IF(L23&lt;&gt;"",$K$6&amp;".3","")</f>
        <v>2.11.3</v>
      </c>
      <c r="L23" s="51" t="s">
        <v>21</v>
      </c>
      <c r="M23" s="51" t="s">
        <v>9</v>
      </c>
      <c r="N23" s="51" t="s">
        <v>19</v>
      </c>
      <c r="O23" s="51">
        <v>5</v>
      </c>
      <c r="P23" s="51">
        <v>8</v>
      </c>
      <c r="Q23" s="47">
        <f t="shared" si="1"/>
        <v>40</v>
      </c>
      <c r="R23" s="59" t="s">
        <v>156</v>
      </c>
      <c r="T23" s="57"/>
      <c r="U23" s="51"/>
      <c r="V23" s="59"/>
    </row>
    <row r="24" spans="2:22" x14ac:dyDescent="0.25">
      <c r="B24" s="41" t="str">
        <f>IF(C24&lt;&gt;"","2.1.4","")</f>
        <v>2.1.4</v>
      </c>
      <c r="C24" s="51" t="s">
        <v>22</v>
      </c>
      <c r="D24" s="51" t="s">
        <v>9</v>
      </c>
      <c r="E24" s="51" t="s">
        <v>19</v>
      </c>
      <c r="F24" s="51">
        <v>8</v>
      </c>
      <c r="G24" s="51">
        <v>12</v>
      </c>
      <c r="H24" s="45">
        <f t="shared" si="0"/>
        <v>96</v>
      </c>
      <c r="I24" s="59" t="s">
        <v>157</v>
      </c>
      <c r="J24" s="5"/>
      <c r="K24" s="37" t="str">
        <f>IF(L24&lt;&gt;"",$K$6&amp;".4","")</f>
        <v>2.11.4</v>
      </c>
      <c r="L24" s="51" t="s">
        <v>22</v>
      </c>
      <c r="M24" s="51" t="s">
        <v>9</v>
      </c>
      <c r="N24" s="51" t="s">
        <v>19</v>
      </c>
      <c r="O24" s="51">
        <v>8</v>
      </c>
      <c r="P24" s="51">
        <v>12</v>
      </c>
      <c r="Q24" s="47">
        <f t="shared" si="1"/>
        <v>96</v>
      </c>
      <c r="R24" s="59" t="s">
        <v>157</v>
      </c>
      <c r="T24" s="57"/>
      <c r="U24" s="51"/>
      <c r="V24" s="59"/>
    </row>
    <row r="25" spans="2:22" x14ac:dyDescent="0.25">
      <c r="B25" s="41" t="str">
        <f>IF(C25&lt;&gt;"","2.1.5","")</f>
        <v>2.1.5</v>
      </c>
      <c r="C25" s="51" t="s">
        <v>23</v>
      </c>
      <c r="D25" s="51" t="s">
        <v>9</v>
      </c>
      <c r="E25" s="51" t="s">
        <v>19</v>
      </c>
      <c r="F25" s="51">
        <v>3</v>
      </c>
      <c r="G25" s="51">
        <v>16</v>
      </c>
      <c r="H25" s="45">
        <f t="shared" si="0"/>
        <v>48</v>
      </c>
      <c r="I25" s="59" t="s">
        <v>158</v>
      </c>
      <c r="J25" s="5"/>
      <c r="K25" s="37" t="str">
        <f>IF(L25&lt;&gt;"",$K$6&amp;".5","")</f>
        <v>2.11.5</v>
      </c>
      <c r="L25" s="51" t="s">
        <v>23</v>
      </c>
      <c r="M25" s="51" t="s">
        <v>9</v>
      </c>
      <c r="N25" s="51" t="s">
        <v>19</v>
      </c>
      <c r="O25" s="51">
        <v>3</v>
      </c>
      <c r="P25" s="51">
        <v>16</v>
      </c>
      <c r="Q25" s="47">
        <f t="shared" si="1"/>
        <v>48</v>
      </c>
      <c r="R25" s="59" t="s">
        <v>158</v>
      </c>
      <c r="T25" s="57"/>
      <c r="U25" s="51"/>
      <c r="V25" s="59"/>
    </row>
    <row r="26" spans="2:22" ht="15.75" thickBot="1" x14ac:dyDescent="0.3">
      <c r="B26" s="41" t="str">
        <f>IF(C26&lt;&gt;"","2.1.6","")</f>
        <v>2.1.6</v>
      </c>
      <c r="C26" s="51" t="s">
        <v>24</v>
      </c>
      <c r="D26" s="51" t="s">
        <v>9</v>
      </c>
      <c r="E26" s="51" t="s">
        <v>19</v>
      </c>
      <c r="F26" s="51">
        <v>4</v>
      </c>
      <c r="G26" s="51">
        <v>8</v>
      </c>
      <c r="H26" s="45">
        <f t="shared" si="0"/>
        <v>32</v>
      </c>
      <c r="I26" s="59" t="s">
        <v>159</v>
      </c>
      <c r="J26" s="5"/>
      <c r="K26" s="37" t="str">
        <f>IF(L26&lt;&gt;"",$K$6&amp;".6","")</f>
        <v>2.11.6</v>
      </c>
      <c r="L26" s="51" t="s">
        <v>24</v>
      </c>
      <c r="M26" s="51" t="s">
        <v>9</v>
      </c>
      <c r="N26" s="51" t="s">
        <v>19</v>
      </c>
      <c r="O26" s="51">
        <v>4</v>
      </c>
      <c r="P26" s="51">
        <v>8</v>
      </c>
      <c r="Q26" s="47">
        <f t="shared" si="1"/>
        <v>32</v>
      </c>
      <c r="R26" s="59" t="s">
        <v>159</v>
      </c>
      <c r="T26" s="58"/>
      <c r="U26" s="52"/>
      <c r="V26" s="60"/>
    </row>
    <row r="27" spans="2:22" x14ac:dyDescent="0.25">
      <c r="B27" s="41" t="str">
        <f>IF(C27&lt;&gt;"","2.1.7","")</f>
        <v>2.1.7</v>
      </c>
      <c r="C27" s="51" t="s">
        <v>26</v>
      </c>
      <c r="D27" s="51" t="s">
        <v>9</v>
      </c>
      <c r="E27" s="51" t="s">
        <v>19</v>
      </c>
      <c r="F27" s="51">
        <v>2</v>
      </c>
      <c r="G27" s="51">
        <v>55</v>
      </c>
      <c r="H27" s="45">
        <f t="shared" si="0"/>
        <v>110</v>
      </c>
      <c r="I27" s="59" t="s">
        <v>160</v>
      </c>
      <c r="J27" s="5"/>
      <c r="K27" s="37" t="str">
        <f>IF(L27&lt;&gt;"",$K$6&amp;".7","")</f>
        <v>2.11.7</v>
      </c>
      <c r="L27" s="51" t="s">
        <v>26</v>
      </c>
      <c r="M27" s="51" t="s">
        <v>9</v>
      </c>
      <c r="N27" s="51" t="s">
        <v>19</v>
      </c>
      <c r="O27" s="51">
        <v>2</v>
      </c>
      <c r="P27" s="51">
        <v>55</v>
      </c>
      <c r="Q27" s="47">
        <f t="shared" si="1"/>
        <v>110</v>
      </c>
      <c r="R27" s="59" t="s">
        <v>160</v>
      </c>
    </row>
    <row r="28" spans="2:22" x14ac:dyDescent="0.25">
      <c r="B28" s="41" t="str">
        <f>IF(C28&lt;&gt;"","2.1.8","")</f>
        <v>2.1.8</v>
      </c>
      <c r="C28" s="51" t="s">
        <v>25</v>
      </c>
      <c r="D28" s="51" t="s">
        <v>9</v>
      </c>
      <c r="E28" s="51" t="s">
        <v>19</v>
      </c>
      <c r="F28" s="51">
        <v>6</v>
      </c>
      <c r="G28" s="51">
        <v>80</v>
      </c>
      <c r="H28" s="45">
        <f t="shared" si="0"/>
        <v>480</v>
      </c>
      <c r="I28" s="59" t="s">
        <v>161</v>
      </c>
      <c r="J28" s="5"/>
      <c r="K28" s="37" t="str">
        <f>IF(L28&lt;&gt;"",$K$6&amp;".8","")</f>
        <v>2.11.8</v>
      </c>
      <c r="L28" s="51" t="s">
        <v>25</v>
      </c>
      <c r="M28" s="51" t="s">
        <v>9</v>
      </c>
      <c r="N28" s="51" t="s">
        <v>19</v>
      </c>
      <c r="O28" s="51">
        <v>6</v>
      </c>
      <c r="P28" s="51">
        <v>80</v>
      </c>
      <c r="Q28" s="47">
        <f t="shared" si="1"/>
        <v>480</v>
      </c>
      <c r="R28" s="59" t="s">
        <v>161</v>
      </c>
    </row>
    <row r="29" spans="2:22" x14ac:dyDescent="0.25">
      <c r="B29" s="41" t="str">
        <f>IF(C29&lt;&gt;"","2.1.9","")</f>
        <v>2.1.9</v>
      </c>
      <c r="C29" s="51" t="s">
        <v>27</v>
      </c>
      <c r="D29" s="51" t="s">
        <v>9</v>
      </c>
      <c r="E29" s="51" t="s">
        <v>19</v>
      </c>
      <c r="F29" s="51">
        <v>9</v>
      </c>
      <c r="G29" s="51">
        <v>90</v>
      </c>
      <c r="H29" s="45">
        <f t="shared" si="0"/>
        <v>810</v>
      </c>
      <c r="I29" s="59" t="s">
        <v>162</v>
      </c>
      <c r="J29" s="5"/>
      <c r="K29" s="37" t="str">
        <f>IF(L29&lt;&gt;"",$K$6&amp;".9","")</f>
        <v>2.11.9</v>
      </c>
      <c r="L29" s="51" t="s">
        <v>27</v>
      </c>
      <c r="M29" s="51" t="s">
        <v>9</v>
      </c>
      <c r="N29" s="51" t="s">
        <v>19</v>
      </c>
      <c r="O29" s="51">
        <v>9</v>
      </c>
      <c r="P29" s="51">
        <v>90</v>
      </c>
      <c r="Q29" s="47">
        <f t="shared" si="1"/>
        <v>810</v>
      </c>
      <c r="R29" s="59" t="s">
        <v>162</v>
      </c>
    </row>
    <row r="30" spans="2:22" ht="15.75" thickBot="1" x14ac:dyDescent="0.3">
      <c r="B30" s="42" t="str">
        <f>IF(C30&lt;&gt;"","2.1.10","")</f>
        <v>2.1.10</v>
      </c>
      <c r="C30" s="52" t="s">
        <v>28</v>
      </c>
      <c r="D30" s="52" t="s">
        <v>9</v>
      </c>
      <c r="E30" s="52" t="s">
        <v>19</v>
      </c>
      <c r="F30" s="52">
        <v>7</v>
      </c>
      <c r="G30" s="52">
        <v>110</v>
      </c>
      <c r="H30" s="48">
        <f t="shared" si="0"/>
        <v>770</v>
      </c>
      <c r="I30" s="60" t="s">
        <v>163</v>
      </c>
      <c r="J30" s="5"/>
      <c r="K30" s="37" t="str">
        <f>IF(L30&lt;&gt;"",$K$6&amp;".10","")</f>
        <v>2.11.10</v>
      </c>
      <c r="L30" s="52" t="s">
        <v>28</v>
      </c>
      <c r="M30" s="52" t="s">
        <v>9</v>
      </c>
      <c r="N30" s="52" t="s">
        <v>19</v>
      </c>
      <c r="O30" s="52">
        <v>7</v>
      </c>
      <c r="P30" s="52">
        <v>110</v>
      </c>
      <c r="Q30" s="50">
        <f t="shared" si="1"/>
        <v>770</v>
      </c>
      <c r="R30" s="60" t="s">
        <v>163</v>
      </c>
    </row>
    <row r="31" spans="2:22" ht="15.75" thickBot="1" x14ac:dyDescent="0.3">
      <c r="B31" s="5"/>
      <c r="C31" s="5"/>
      <c r="D31" s="5"/>
      <c r="E31" s="5"/>
      <c r="F31" s="5"/>
      <c r="G31" s="5"/>
      <c r="H31" s="5"/>
      <c r="I31" s="5"/>
      <c r="J31" s="5"/>
      <c r="K31" s="5"/>
      <c r="L31" s="5"/>
      <c r="M31" s="5"/>
      <c r="N31" s="5"/>
      <c r="O31" s="5"/>
      <c r="P31" s="5"/>
      <c r="Q31" s="5"/>
      <c r="R31" s="5"/>
    </row>
    <row r="32" spans="2:22" ht="19.5" thickBot="1" x14ac:dyDescent="0.35">
      <c r="B32" s="131" t="str">
        <f>IF('Etap 2'!$C$7&lt;&gt;"", B7&amp;": "&amp;  'Etap 2'!$C$7,"")</f>
        <v>2.2: Zadanie P2.2</v>
      </c>
      <c r="C32" s="132"/>
      <c r="D32" s="132"/>
      <c r="E32" s="132"/>
      <c r="F32" s="132"/>
      <c r="G32" s="132"/>
      <c r="H32" s="132"/>
      <c r="I32" s="133"/>
      <c r="J32" s="5"/>
      <c r="K32" s="127" t="str">
        <f>IF('Etap 2'!$L$7&lt;&gt;"",K7&amp;": "&amp;  'Etap 2'!$L$7,"")</f>
        <v>2.12: Zadanie T2.2</v>
      </c>
      <c r="L32" s="128"/>
      <c r="M32" s="128"/>
      <c r="N32" s="128"/>
      <c r="O32" s="128"/>
      <c r="P32" s="128"/>
      <c r="Q32" s="128"/>
      <c r="R32" s="129"/>
      <c r="T32" s="112" t="s">
        <v>175</v>
      </c>
      <c r="U32" s="113"/>
      <c r="V32" s="114"/>
    </row>
    <row r="33" spans="2:22" x14ac:dyDescent="0.25">
      <c r="B33" s="6" t="s">
        <v>1</v>
      </c>
      <c r="C33" s="7" t="s">
        <v>16</v>
      </c>
      <c r="D33" s="7" t="s">
        <v>3</v>
      </c>
      <c r="E33" s="7" t="s">
        <v>4</v>
      </c>
      <c r="F33" s="7" t="s">
        <v>15</v>
      </c>
      <c r="G33" s="7" t="s">
        <v>5</v>
      </c>
      <c r="H33" s="7" t="s">
        <v>6</v>
      </c>
      <c r="I33" s="8" t="s">
        <v>7</v>
      </c>
      <c r="J33" s="5"/>
      <c r="K33" s="34" t="s">
        <v>1</v>
      </c>
      <c r="L33" s="35" t="s">
        <v>16</v>
      </c>
      <c r="M33" s="35" t="s">
        <v>3</v>
      </c>
      <c r="N33" s="35" t="s">
        <v>4</v>
      </c>
      <c r="O33" s="35" t="s">
        <v>15</v>
      </c>
      <c r="P33" s="35" t="s">
        <v>5</v>
      </c>
      <c r="Q33" s="35" t="s">
        <v>6</v>
      </c>
      <c r="R33" s="36" t="s">
        <v>7</v>
      </c>
      <c r="T33" s="55" t="s">
        <v>167</v>
      </c>
      <c r="U33" s="54" t="s">
        <v>168</v>
      </c>
      <c r="V33" s="56" t="s">
        <v>169</v>
      </c>
    </row>
    <row r="34" spans="2:22" x14ac:dyDescent="0.25">
      <c r="B34" s="9" t="str">
        <f>IF(C34&lt;&gt;"","2.2.1","")</f>
        <v>2.2.1</v>
      </c>
      <c r="C34" s="51" t="s">
        <v>17</v>
      </c>
      <c r="D34" s="51" t="s">
        <v>10</v>
      </c>
      <c r="E34" s="51" t="s">
        <v>19</v>
      </c>
      <c r="F34" s="51">
        <v>5</v>
      </c>
      <c r="G34" s="51">
        <v>50</v>
      </c>
      <c r="H34" s="45">
        <f t="shared" ref="H34:H43" si="2">IF(C34&lt;&gt;"",F34*G34,"")</f>
        <v>250</v>
      </c>
      <c r="I34" s="59" t="s">
        <v>154</v>
      </c>
      <c r="J34" s="5"/>
      <c r="K34" s="37" t="str">
        <f>IF(L34&lt;&gt;"",$K$7&amp;".1","")</f>
        <v>2.12.1</v>
      </c>
      <c r="L34" s="51" t="s">
        <v>17</v>
      </c>
      <c r="M34" s="51" t="s">
        <v>10</v>
      </c>
      <c r="N34" s="51" t="s">
        <v>19</v>
      </c>
      <c r="O34" s="51">
        <v>5</v>
      </c>
      <c r="P34" s="51">
        <v>50</v>
      </c>
      <c r="Q34" s="47">
        <f t="shared" ref="Q34:Q43" si="3">IF(L34&lt;&gt;"",O34*P34,"")</f>
        <v>250</v>
      </c>
      <c r="R34" s="59" t="s">
        <v>154</v>
      </c>
      <c r="T34" s="100"/>
      <c r="U34" s="103"/>
      <c r="V34" s="106"/>
    </row>
    <row r="35" spans="2:22" x14ac:dyDescent="0.25">
      <c r="B35" s="9" t="str">
        <f>IF(C35&lt;&gt;"","2.2.2","")</f>
        <v>2.2.2</v>
      </c>
      <c r="C35" s="51" t="s">
        <v>20</v>
      </c>
      <c r="D35" s="51" t="s">
        <v>11</v>
      </c>
      <c r="E35" s="51" t="s">
        <v>13</v>
      </c>
      <c r="F35" s="51">
        <v>8</v>
      </c>
      <c r="G35" s="51">
        <v>20</v>
      </c>
      <c r="H35" s="45">
        <f t="shared" si="2"/>
        <v>160</v>
      </c>
      <c r="I35" s="59" t="s">
        <v>155</v>
      </c>
      <c r="J35" s="5"/>
      <c r="K35" s="37" t="str">
        <f>IF(L35&lt;&gt;"",$K$7&amp;".2","")</f>
        <v>2.12.2</v>
      </c>
      <c r="L35" s="51" t="s">
        <v>20</v>
      </c>
      <c r="M35" s="51" t="s">
        <v>11</v>
      </c>
      <c r="N35" s="51" t="s">
        <v>13</v>
      </c>
      <c r="O35" s="51">
        <v>8</v>
      </c>
      <c r="P35" s="51">
        <v>20</v>
      </c>
      <c r="Q35" s="47">
        <f t="shared" si="3"/>
        <v>160</v>
      </c>
      <c r="R35" s="59" t="s">
        <v>155</v>
      </c>
      <c r="T35" s="101"/>
      <c r="U35" s="104"/>
      <c r="V35" s="107"/>
    </row>
    <row r="36" spans="2:22" x14ac:dyDescent="0.25">
      <c r="B36" s="9" t="str">
        <f>IF(C36&lt;&gt;"","2.2.3","")</f>
        <v>2.2.3</v>
      </c>
      <c r="C36" s="51" t="s">
        <v>21</v>
      </c>
      <c r="D36" s="51" t="s">
        <v>9</v>
      </c>
      <c r="E36" s="51" t="s">
        <v>19</v>
      </c>
      <c r="F36" s="51">
        <v>5</v>
      </c>
      <c r="G36" s="51">
        <v>8</v>
      </c>
      <c r="H36" s="45">
        <f t="shared" si="2"/>
        <v>40</v>
      </c>
      <c r="I36" s="59" t="s">
        <v>156</v>
      </c>
      <c r="J36" s="5"/>
      <c r="K36" s="37" t="str">
        <f>IF(L36&lt;&gt;"",$K$7&amp;".3","")</f>
        <v>2.12.3</v>
      </c>
      <c r="L36" s="51" t="s">
        <v>21</v>
      </c>
      <c r="M36" s="51" t="s">
        <v>9</v>
      </c>
      <c r="N36" s="51" t="s">
        <v>19</v>
      </c>
      <c r="O36" s="51">
        <v>5</v>
      </c>
      <c r="P36" s="51">
        <v>8</v>
      </c>
      <c r="Q36" s="47">
        <f t="shared" si="3"/>
        <v>40</v>
      </c>
      <c r="R36" s="59" t="s">
        <v>156</v>
      </c>
      <c r="T36" s="109"/>
      <c r="U36" s="110"/>
      <c r="V36" s="111"/>
    </row>
    <row r="37" spans="2:22" x14ac:dyDescent="0.25">
      <c r="B37" s="9" t="str">
        <f>IF(C37&lt;&gt;"","2.2.4","")</f>
        <v>2.2.4</v>
      </c>
      <c r="C37" s="51" t="s">
        <v>22</v>
      </c>
      <c r="D37" s="51" t="s">
        <v>9</v>
      </c>
      <c r="E37" s="51" t="s">
        <v>19</v>
      </c>
      <c r="F37" s="51">
        <v>8</v>
      </c>
      <c r="G37" s="51">
        <v>12</v>
      </c>
      <c r="H37" s="45">
        <f t="shared" si="2"/>
        <v>96</v>
      </c>
      <c r="I37" s="59" t="s">
        <v>157</v>
      </c>
      <c r="J37" s="5"/>
      <c r="K37" s="37" t="str">
        <f>IF(L37&lt;&gt;"",$K$7&amp;".4","")</f>
        <v>2.12.4</v>
      </c>
      <c r="L37" s="51" t="s">
        <v>22</v>
      </c>
      <c r="M37" s="51" t="s">
        <v>9</v>
      </c>
      <c r="N37" s="51" t="s">
        <v>19</v>
      </c>
      <c r="O37" s="51">
        <v>8</v>
      </c>
      <c r="P37" s="51">
        <v>12</v>
      </c>
      <c r="Q37" s="47">
        <f t="shared" si="3"/>
        <v>96</v>
      </c>
      <c r="R37" s="59" t="s">
        <v>157</v>
      </c>
      <c r="T37" s="100"/>
      <c r="U37" s="103"/>
      <c r="V37" s="106"/>
    </row>
    <row r="38" spans="2:22" x14ac:dyDescent="0.25">
      <c r="B38" s="9" t="str">
        <f>IF(C38&lt;&gt;"","2.2.5","")</f>
        <v>2.2.5</v>
      </c>
      <c r="C38" s="51" t="s">
        <v>23</v>
      </c>
      <c r="D38" s="51" t="s">
        <v>9</v>
      </c>
      <c r="E38" s="51" t="s">
        <v>19</v>
      </c>
      <c r="F38" s="51">
        <v>3</v>
      </c>
      <c r="G38" s="51">
        <v>16</v>
      </c>
      <c r="H38" s="45">
        <f t="shared" si="2"/>
        <v>48</v>
      </c>
      <c r="I38" s="59" t="s">
        <v>158</v>
      </c>
      <c r="J38" s="5"/>
      <c r="K38" s="37" t="str">
        <f>IF(L38&lt;&gt;"",$K$7&amp;".5","")</f>
        <v>2.12.5</v>
      </c>
      <c r="L38" s="51" t="s">
        <v>23</v>
      </c>
      <c r="M38" s="51" t="s">
        <v>9</v>
      </c>
      <c r="N38" s="51" t="s">
        <v>19</v>
      </c>
      <c r="O38" s="51">
        <v>3</v>
      </c>
      <c r="P38" s="51">
        <v>16</v>
      </c>
      <c r="Q38" s="47">
        <f t="shared" si="3"/>
        <v>48</v>
      </c>
      <c r="R38" s="59" t="s">
        <v>158</v>
      </c>
      <c r="T38" s="101"/>
      <c r="U38" s="104"/>
      <c r="V38" s="107"/>
    </row>
    <row r="39" spans="2:22" x14ac:dyDescent="0.25">
      <c r="B39" s="9" t="str">
        <f>IF(C39&lt;&gt;"","2.2.6","")</f>
        <v>2.2.6</v>
      </c>
      <c r="C39" s="51" t="s">
        <v>24</v>
      </c>
      <c r="D39" s="51" t="s">
        <v>9</v>
      </c>
      <c r="E39" s="51" t="s">
        <v>19</v>
      </c>
      <c r="F39" s="51">
        <v>4</v>
      </c>
      <c r="G39" s="51">
        <v>8</v>
      </c>
      <c r="H39" s="45">
        <f t="shared" si="2"/>
        <v>32</v>
      </c>
      <c r="I39" s="59" t="s">
        <v>159</v>
      </c>
      <c r="J39" s="5"/>
      <c r="K39" s="37" t="str">
        <f>IF(L39&lt;&gt;"",$K$7&amp;".6","")</f>
        <v>2.12.6</v>
      </c>
      <c r="L39" s="51" t="s">
        <v>24</v>
      </c>
      <c r="M39" s="51" t="s">
        <v>9</v>
      </c>
      <c r="N39" s="51" t="s">
        <v>19</v>
      </c>
      <c r="O39" s="51">
        <v>4</v>
      </c>
      <c r="P39" s="51">
        <v>8</v>
      </c>
      <c r="Q39" s="47">
        <f t="shared" si="3"/>
        <v>32</v>
      </c>
      <c r="R39" s="59" t="s">
        <v>159</v>
      </c>
      <c r="T39" s="109"/>
      <c r="U39" s="110"/>
      <c r="V39" s="111"/>
    </row>
    <row r="40" spans="2:22" x14ac:dyDescent="0.25">
      <c r="B40" s="9" t="str">
        <f>IF(C40&lt;&gt;"","2.2.7","")</f>
        <v>2.2.7</v>
      </c>
      <c r="C40" s="51" t="s">
        <v>26</v>
      </c>
      <c r="D40" s="51" t="s">
        <v>9</v>
      </c>
      <c r="E40" s="51" t="s">
        <v>19</v>
      </c>
      <c r="F40" s="51">
        <v>2</v>
      </c>
      <c r="G40" s="51">
        <v>55</v>
      </c>
      <c r="H40" s="45">
        <f t="shared" si="2"/>
        <v>110</v>
      </c>
      <c r="I40" s="59" t="s">
        <v>160</v>
      </c>
      <c r="J40" s="5"/>
      <c r="K40" s="37" t="str">
        <f>IF(L40&lt;&gt;"",$K$7&amp;".7","")</f>
        <v>2.12.7</v>
      </c>
      <c r="L40" s="51" t="s">
        <v>26</v>
      </c>
      <c r="M40" s="51" t="s">
        <v>9</v>
      </c>
      <c r="N40" s="51" t="s">
        <v>19</v>
      </c>
      <c r="O40" s="51">
        <v>2</v>
      </c>
      <c r="P40" s="51">
        <v>55</v>
      </c>
      <c r="Q40" s="47">
        <f t="shared" si="3"/>
        <v>110</v>
      </c>
      <c r="R40" s="59" t="s">
        <v>160</v>
      </c>
      <c r="T40" s="100"/>
      <c r="U40" s="103"/>
      <c r="V40" s="106"/>
    </row>
    <row r="41" spans="2:22" x14ac:dyDescent="0.25">
      <c r="B41" s="9" t="str">
        <f>IF(C41&lt;&gt;"","2.2.8","")</f>
        <v>2.2.8</v>
      </c>
      <c r="C41" s="51" t="s">
        <v>25</v>
      </c>
      <c r="D41" s="51" t="s">
        <v>9</v>
      </c>
      <c r="E41" s="51" t="s">
        <v>19</v>
      </c>
      <c r="F41" s="51">
        <v>6</v>
      </c>
      <c r="G41" s="51">
        <v>80</v>
      </c>
      <c r="H41" s="45">
        <f t="shared" si="2"/>
        <v>480</v>
      </c>
      <c r="I41" s="59" t="s">
        <v>161</v>
      </c>
      <c r="J41" s="5"/>
      <c r="K41" s="37" t="str">
        <f>IF(L41&lt;&gt;"",$K$7&amp;".8","")</f>
        <v>2.12.8</v>
      </c>
      <c r="L41" s="51" t="s">
        <v>25</v>
      </c>
      <c r="M41" s="51" t="s">
        <v>9</v>
      </c>
      <c r="N41" s="51" t="s">
        <v>19</v>
      </c>
      <c r="O41" s="51">
        <v>6</v>
      </c>
      <c r="P41" s="51">
        <v>80</v>
      </c>
      <c r="Q41" s="47">
        <f t="shared" si="3"/>
        <v>480</v>
      </c>
      <c r="R41" s="59" t="s">
        <v>161</v>
      </c>
      <c r="T41" s="101"/>
      <c r="U41" s="104"/>
      <c r="V41" s="107"/>
    </row>
    <row r="42" spans="2:22" x14ac:dyDescent="0.25">
      <c r="B42" s="9" t="str">
        <f>IF(C42&lt;&gt;"","2.2.9","")</f>
        <v>2.2.9</v>
      </c>
      <c r="C42" s="51" t="s">
        <v>27</v>
      </c>
      <c r="D42" s="51" t="s">
        <v>9</v>
      </c>
      <c r="E42" s="51" t="s">
        <v>19</v>
      </c>
      <c r="F42" s="51">
        <v>9</v>
      </c>
      <c r="G42" s="51">
        <v>90</v>
      </c>
      <c r="H42" s="45">
        <f t="shared" si="2"/>
        <v>810</v>
      </c>
      <c r="I42" s="59" t="s">
        <v>162</v>
      </c>
      <c r="J42" s="5"/>
      <c r="K42" s="37" t="str">
        <f>IF(L42&lt;&gt;"",$K$7&amp;".9","")</f>
        <v>2.12.9</v>
      </c>
      <c r="L42" s="51" t="s">
        <v>27</v>
      </c>
      <c r="M42" s="51" t="s">
        <v>9</v>
      </c>
      <c r="N42" s="51" t="s">
        <v>19</v>
      </c>
      <c r="O42" s="51">
        <v>9</v>
      </c>
      <c r="P42" s="51">
        <v>90</v>
      </c>
      <c r="Q42" s="47">
        <f t="shared" si="3"/>
        <v>810</v>
      </c>
      <c r="R42" s="59" t="s">
        <v>162</v>
      </c>
      <c r="T42" s="109"/>
      <c r="U42" s="110"/>
      <c r="V42" s="111"/>
    </row>
    <row r="43" spans="2:22" ht="15.75" thickBot="1" x14ac:dyDescent="0.3">
      <c r="B43" s="10" t="str">
        <f>IF(C43&lt;&gt;"","2.2.10","")</f>
        <v>2.2.10</v>
      </c>
      <c r="C43" s="52" t="s">
        <v>28</v>
      </c>
      <c r="D43" s="52" t="s">
        <v>9</v>
      </c>
      <c r="E43" s="52" t="s">
        <v>19</v>
      </c>
      <c r="F43" s="52">
        <v>7</v>
      </c>
      <c r="G43" s="52">
        <v>110</v>
      </c>
      <c r="H43" s="48">
        <f t="shared" si="2"/>
        <v>770</v>
      </c>
      <c r="I43" s="60" t="s">
        <v>163</v>
      </c>
      <c r="J43" s="5"/>
      <c r="K43" s="38" t="str">
        <f>IF(L43&lt;&gt;"",$K$7&amp;".10","")</f>
        <v>2.12.10</v>
      </c>
      <c r="L43" s="52" t="s">
        <v>28</v>
      </c>
      <c r="M43" s="52" t="s">
        <v>9</v>
      </c>
      <c r="N43" s="52" t="s">
        <v>19</v>
      </c>
      <c r="O43" s="52">
        <v>7</v>
      </c>
      <c r="P43" s="52">
        <v>110</v>
      </c>
      <c r="Q43" s="50">
        <f t="shared" si="3"/>
        <v>770</v>
      </c>
      <c r="R43" s="60" t="s">
        <v>163</v>
      </c>
      <c r="T43" s="100"/>
      <c r="U43" s="103"/>
      <c r="V43" s="106"/>
    </row>
    <row r="44" spans="2:22" ht="15.75" thickBot="1" x14ac:dyDescent="0.3">
      <c r="B44" s="5"/>
      <c r="C44" s="5"/>
      <c r="D44" s="5"/>
      <c r="E44" s="5"/>
      <c r="F44" s="5"/>
      <c r="G44" s="5"/>
      <c r="H44" s="5"/>
      <c r="I44" s="5"/>
      <c r="J44" s="5"/>
      <c r="K44" s="5"/>
      <c r="L44" s="5"/>
      <c r="M44" s="5"/>
      <c r="N44" s="5"/>
      <c r="O44" s="5"/>
      <c r="P44" s="5"/>
      <c r="Q44" s="5"/>
      <c r="R44" s="5"/>
      <c r="T44" s="101"/>
      <c r="U44" s="104"/>
      <c r="V44" s="107"/>
    </row>
    <row r="45" spans="2:22" ht="19.5" thickBot="1" x14ac:dyDescent="0.35">
      <c r="B45" s="118" t="str">
        <f>IF('Etap 2'!$C$8&lt;&gt;"", B8&amp;": "&amp;  'Etap 2'!$C$8,"")</f>
        <v>2.3: Zadanie P2.3</v>
      </c>
      <c r="C45" s="119"/>
      <c r="D45" s="119"/>
      <c r="E45" s="119"/>
      <c r="F45" s="119"/>
      <c r="G45" s="119"/>
      <c r="H45" s="119"/>
      <c r="I45" s="120"/>
      <c r="J45" s="5"/>
      <c r="K45" s="127" t="str">
        <f>IF('Etap 2'!$L$8&lt;&gt;"",K8&amp;": "&amp;  'Etap 2'!$L$8,"")</f>
        <v>2.13: Zadanie T2.3</v>
      </c>
      <c r="L45" s="128"/>
      <c r="M45" s="128"/>
      <c r="N45" s="128"/>
      <c r="O45" s="128"/>
      <c r="P45" s="128"/>
      <c r="Q45" s="128"/>
      <c r="R45" s="129"/>
      <c r="T45" s="102"/>
      <c r="U45" s="105"/>
      <c r="V45" s="108"/>
    </row>
    <row r="46" spans="2:22" x14ac:dyDescent="0.25">
      <c r="B46" s="6" t="s">
        <v>1</v>
      </c>
      <c r="C46" s="7" t="s">
        <v>16</v>
      </c>
      <c r="D46" s="7" t="s">
        <v>3</v>
      </c>
      <c r="E46" s="7" t="s">
        <v>4</v>
      </c>
      <c r="F46" s="7" t="s">
        <v>15</v>
      </c>
      <c r="G46" s="7" t="s">
        <v>5</v>
      </c>
      <c r="H46" s="7" t="s">
        <v>6</v>
      </c>
      <c r="I46" s="8" t="s">
        <v>7</v>
      </c>
      <c r="J46" s="5"/>
      <c r="K46" s="34" t="s">
        <v>1</v>
      </c>
      <c r="L46" s="35" t="s">
        <v>16</v>
      </c>
      <c r="M46" s="35" t="s">
        <v>3</v>
      </c>
      <c r="N46" s="35" t="s">
        <v>4</v>
      </c>
      <c r="O46" s="35" t="s">
        <v>15</v>
      </c>
      <c r="P46" s="35" t="s">
        <v>5</v>
      </c>
      <c r="Q46" s="35" t="s">
        <v>6</v>
      </c>
      <c r="R46" s="36" t="s">
        <v>7</v>
      </c>
    </row>
    <row r="47" spans="2:22" x14ac:dyDescent="0.25">
      <c r="B47" s="41" t="str">
        <f>IF(C47&lt;&gt;"","2.3.1","")</f>
        <v>2.3.1</v>
      </c>
      <c r="C47" s="51" t="s">
        <v>17</v>
      </c>
      <c r="D47" s="51" t="s">
        <v>10</v>
      </c>
      <c r="E47" s="51" t="s">
        <v>19</v>
      </c>
      <c r="F47" s="51">
        <v>5</v>
      </c>
      <c r="G47" s="51">
        <v>50</v>
      </c>
      <c r="H47" s="45">
        <f t="shared" ref="H47:H56" si="4">IF(C47&lt;&gt;"",F47*G47,"")</f>
        <v>250</v>
      </c>
      <c r="I47" s="59" t="s">
        <v>154</v>
      </c>
      <c r="J47" s="5"/>
      <c r="K47" s="37" t="str">
        <f>IF(L47&lt;&gt;"",$K$8&amp;".1","")</f>
        <v>2.13.1</v>
      </c>
      <c r="L47" s="51" t="s">
        <v>17</v>
      </c>
      <c r="M47" s="51" t="s">
        <v>10</v>
      </c>
      <c r="N47" s="51" t="s">
        <v>19</v>
      </c>
      <c r="O47" s="51">
        <v>5</v>
      </c>
      <c r="P47" s="51">
        <v>50</v>
      </c>
      <c r="Q47" s="47">
        <f t="shared" ref="Q47:Q56" si="5">IF(L47&lt;&gt;"",O47*P47,"")</f>
        <v>250</v>
      </c>
      <c r="R47" s="59" t="s">
        <v>154</v>
      </c>
    </row>
    <row r="48" spans="2:22" x14ac:dyDescent="0.25">
      <c r="B48" s="41" t="str">
        <f>IF(C48&lt;&gt;"","2.3.2","")</f>
        <v>2.3.2</v>
      </c>
      <c r="C48" s="51" t="s">
        <v>20</v>
      </c>
      <c r="D48" s="51" t="s">
        <v>11</v>
      </c>
      <c r="E48" s="51" t="s">
        <v>13</v>
      </c>
      <c r="F48" s="51">
        <v>8</v>
      </c>
      <c r="G48" s="51">
        <v>20</v>
      </c>
      <c r="H48" s="45">
        <f t="shared" si="4"/>
        <v>160</v>
      </c>
      <c r="I48" s="59" t="s">
        <v>155</v>
      </c>
      <c r="J48" s="5"/>
      <c r="K48" s="37" t="str">
        <f>IF(L48&lt;&gt;"",$K$8&amp;".2","")</f>
        <v>2.13.2</v>
      </c>
      <c r="L48" s="51" t="s">
        <v>20</v>
      </c>
      <c r="M48" s="51" t="s">
        <v>11</v>
      </c>
      <c r="N48" s="51" t="s">
        <v>13</v>
      </c>
      <c r="O48" s="51">
        <v>8</v>
      </c>
      <c r="P48" s="51">
        <v>20</v>
      </c>
      <c r="Q48" s="47">
        <f t="shared" si="5"/>
        <v>160</v>
      </c>
      <c r="R48" s="59" t="s">
        <v>155</v>
      </c>
    </row>
    <row r="49" spans="2:18" x14ac:dyDescent="0.25">
      <c r="B49" s="41" t="str">
        <f>IF(C49&lt;&gt;"","2.3.3","")</f>
        <v>2.3.3</v>
      </c>
      <c r="C49" s="51" t="s">
        <v>21</v>
      </c>
      <c r="D49" s="51" t="s">
        <v>9</v>
      </c>
      <c r="E49" s="51" t="s">
        <v>19</v>
      </c>
      <c r="F49" s="51">
        <v>5</v>
      </c>
      <c r="G49" s="51">
        <v>8</v>
      </c>
      <c r="H49" s="45">
        <f t="shared" si="4"/>
        <v>40</v>
      </c>
      <c r="I49" s="59" t="s">
        <v>156</v>
      </c>
      <c r="J49" s="5"/>
      <c r="K49" s="37" t="str">
        <f>IF(L49&lt;&gt;"",$K$8&amp;".3","")</f>
        <v>2.13.3</v>
      </c>
      <c r="L49" s="51" t="s">
        <v>21</v>
      </c>
      <c r="M49" s="51" t="s">
        <v>9</v>
      </c>
      <c r="N49" s="51" t="s">
        <v>19</v>
      </c>
      <c r="O49" s="51">
        <v>5</v>
      </c>
      <c r="P49" s="51">
        <v>8</v>
      </c>
      <c r="Q49" s="47">
        <f t="shared" si="5"/>
        <v>40</v>
      </c>
      <c r="R49" s="59" t="s">
        <v>156</v>
      </c>
    </row>
    <row r="50" spans="2:18" x14ac:dyDescent="0.25">
      <c r="B50" s="41" t="str">
        <f>IF(C50&lt;&gt;"","2.3.4","")</f>
        <v>2.3.4</v>
      </c>
      <c r="C50" s="51" t="s">
        <v>22</v>
      </c>
      <c r="D50" s="51" t="s">
        <v>9</v>
      </c>
      <c r="E50" s="51" t="s">
        <v>19</v>
      </c>
      <c r="F50" s="51">
        <v>8</v>
      </c>
      <c r="G50" s="51">
        <v>12</v>
      </c>
      <c r="H50" s="45">
        <f t="shared" si="4"/>
        <v>96</v>
      </c>
      <c r="I50" s="59" t="s">
        <v>157</v>
      </c>
      <c r="J50" s="5"/>
      <c r="K50" s="37" t="str">
        <f>IF(L50&lt;&gt;"",$K$8&amp;".4","")</f>
        <v>2.13.4</v>
      </c>
      <c r="L50" s="51" t="s">
        <v>22</v>
      </c>
      <c r="M50" s="51" t="s">
        <v>9</v>
      </c>
      <c r="N50" s="51" t="s">
        <v>19</v>
      </c>
      <c r="O50" s="51">
        <v>8</v>
      </c>
      <c r="P50" s="51">
        <v>12</v>
      </c>
      <c r="Q50" s="47">
        <f t="shared" si="5"/>
        <v>96</v>
      </c>
      <c r="R50" s="59" t="s">
        <v>157</v>
      </c>
    </row>
    <row r="51" spans="2:18" x14ac:dyDescent="0.25">
      <c r="B51" s="41" t="str">
        <f>IF(C51&lt;&gt;"","2.3.5","")</f>
        <v>2.3.5</v>
      </c>
      <c r="C51" s="51" t="s">
        <v>23</v>
      </c>
      <c r="D51" s="51" t="s">
        <v>9</v>
      </c>
      <c r="E51" s="51" t="s">
        <v>19</v>
      </c>
      <c r="F51" s="51">
        <v>3</v>
      </c>
      <c r="G51" s="51">
        <v>16</v>
      </c>
      <c r="H51" s="45">
        <f t="shared" si="4"/>
        <v>48</v>
      </c>
      <c r="I51" s="59" t="s">
        <v>158</v>
      </c>
      <c r="J51" s="5"/>
      <c r="K51" s="37" t="str">
        <f>IF(L51&lt;&gt;"",$K$8&amp;".5","")</f>
        <v>2.13.5</v>
      </c>
      <c r="L51" s="51" t="s">
        <v>23</v>
      </c>
      <c r="M51" s="51" t="s">
        <v>9</v>
      </c>
      <c r="N51" s="51" t="s">
        <v>19</v>
      </c>
      <c r="O51" s="51">
        <v>3</v>
      </c>
      <c r="P51" s="51">
        <v>16</v>
      </c>
      <c r="Q51" s="47">
        <f t="shared" si="5"/>
        <v>48</v>
      </c>
      <c r="R51" s="59" t="s">
        <v>158</v>
      </c>
    </row>
    <row r="52" spans="2:18" x14ac:dyDescent="0.25">
      <c r="B52" s="41" t="str">
        <f>IF(C52&lt;&gt;"","2.3.6","")</f>
        <v>2.3.6</v>
      </c>
      <c r="C52" s="51" t="s">
        <v>24</v>
      </c>
      <c r="D52" s="51" t="s">
        <v>9</v>
      </c>
      <c r="E52" s="51" t="s">
        <v>19</v>
      </c>
      <c r="F52" s="51">
        <v>4</v>
      </c>
      <c r="G52" s="51">
        <v>8</v>
      </c>
      <c r="H52" s="45">
        <f t="shared" si="4"/>
        <v>32</v>
      </c>
      <c r="I52" s="59" t="s">
        <v>159</v>
      </c>
      <c r="J52" s="5"/>
      <c r="K52" s="37" t="str">
        <f>IF(L52&lt;&gt;"",$K$8&amp;".6","")</f>
        <v>2.13.6</v>
      </c>
      <c r="L52" s="51" t="s">
        <v>24</v>
      </c>
      <c r="M52" s="51" t="s">
        <v>9</v>
      </c>
      <c r="N52" s="51" t="s">
        <v>19</v>
      </c>
      <c r="O52" s="51">
        <v>4</v>
      </c>
      <c r="P52" s="51">
        <v>8</v>
      </c>
      <c r="Q52" s="47">
        <f t="shared" si="5"/>
        <v>32</v>
      </c>
      <c r="R52" s="59" t="s">
        <v>159</v>
      </c>
    </row>
    <row r="53" spans="2:18" x14ac:dyDescent="0.25">
      <c r="B53" s="41" t="str">
        <f>IF(C53&lt;&gt;"","2.3.7","")</f>
        <v>2.3.7</v>
      </c>
      <c r="C53" s="51" t="s">
        <v>26</v>
      </c>
      <c r="D53" s="51" t="s">
        <v>9</v>
      </c>
      <c r="E53" s="51" t="s">
        <v>19</v>
      </c>
      <c r="F53" s="51">
        <v>2</v>
      </c>
      <c r="G53" s="51">
        <v>55</v>
      </c>
      <c r="H53" s="45">
        <f t="shared" si="4"/>
        <v>110</v>
      </c>
      <c r="I53" s="59" t="s">
        <v>160</v>
      </c>
      <c r="J53" s="5"/>
      <c r="K53" s="37" t="str">
        <f>IF(L53&lt;&gt;"",$K$8&amp;".7","")</f>
        <v>2.13.7</v>
      </c>
      <c r="L53" s="51" t="s">
        <v>26</v>
      </c>
      <c r="M53" s="51" t="s">
        <v>9</v>
      </c>
      <c r="N53" s="51" t="s">
        <v>19</v>
      </c>
      <c r="O53" s="51">
        <v>2</v>
      </c>
      <c r="P53" s="51">
        <v>55</v>
      </c>
      <c r="Q53" s="47">
        <f t="shared" si="5"/>
        <v>110</v>
      </c>
      <c r="R53" s="59" t="s">
        <v>160</v>
      </c>
    </row>
    <row r="54" spans="2:18" x14ac:dyDescent="0.25">
      <c r="B54" s="41" t="str">
        <f>IF(C54&lt;&gt;"","2.3.8","")</f>
        <v>2.3.8</v>
      </c>
      <c r="C54" s="51" t="s">
        <v>25</v>
      </c>
      <c r="D54" s="51" t="s">
        <v>9</v>
      </c>
      <c r="E54" s="51" t="s">
        <v>19</v>
      </c>
      <c r="F54" s="51">
        <v>6</v>
      </c>
      <c r="G54" s="51">
        <v>80</v>
      </c>
      <c r="H54" s="45">
        <f t="shared" si="4"/>
        <v>480</v>
      </c>
      <c r="I54" s="59" t="s">
        <v>161</v>
      </c>
      <c r="J54" s="5"/>
      <c r="K54" s="37" t="str">
        <f>IF(L54&lt;&gt;"",$K$8&amp;".8","")</f>
        <v>2.13.8</v>
      </c>
      <c r="L54" s="51" t="s">
        <v>25</v>
      </c>
      <c r="M54" s="51" t="s">
        <v>9</v>
      </c>
      <c r="N54" s="51" t="s">
        <v>19</v>
      </c>
      <c r="O54" s="51">
        <v>6</v>
      </c>
      <c r="P54" s="51">
        <v>80</v>
      </c>
      <c r="Q54" s="47">
        <f t="shared" si="5"/>
        <v>480</v>
      </c>
      <c r="R54" s="59" t="s">
        <v>161</v>
      </c>
    </row>
    <row r="55" spans="2:18" x14ac:dyDescent="0.25">
      <c r="B55" s="41" t="str">
        <f>IF(C55&lt;&gt;"","2.3.9","")</f>
        <v>2.3.9</v>
      </c>
      <c r="C55" s="51" t="s">
        <v>27</v>
      </c>
      <c r="D55" s="51" t="s">
        <v>9</v>
      </c>
      <c r="E55" s="51" t="s">
        <v>19</v>
      </c>
      <c r="F55" s="51">
        <v>9</v>
      </c>
      <c r="G55" s="51">
        <v>90</v>
      </c>
      <c r="H55" s="45">
        <f t="shared" si="4"/>
        <v>810</v>
      </c>
      <c r="I55" s="59" t="s">
        <v>162</v>
      </c>
      <c r="J55" s="5"/>
      <c r="K55" s="37" t="str">
        <f>IF(L55&lt;&gt;"",$K$8&amp;".9","")</f>
        <v>2.13.9</v>
      </c>
      <c r="L55" s="51" t="s">
        <v>27</v>
      </c>
      <c r="M55" s="51" t="s">
        <v>9</v>
      </c>
      <c r="N55" s="51" t="s">
        <v>19</v>
      </c>
      <c r="O55" s="51">
        <v>9</v>
      </c>
      <c r="P55" s="51">
        <v>90</v>
      </c>
      <c r="Q55" s="47">
        <f t="shared" si="5"/>
        <v>810</v>
      </c>
      <c r="R55" s="59" t="s">
        <v>162</v>
      </c>
    </row>
    <row r="56" spans="2:18" ht="15.75" thickBot="1" x14ac:dyDescent="0.3">
      <c r="B56" s="42" t="str">
        <f>IF(C56&lt;&gt;"","2.3.10","")</f>
        <v>2.3.10</v>
      </c>
      <c r="C56" s="52" t="s">
        <v>28</v>
      </c>
      <c r="D56" s="52" t="s">
        <v>9</v>
      </c>
      <c r="E56" s="52" t="s">
        <v>19</v>
      </c>
      <c r="F56" s="52">
        <v>7</v>
      </c>
      <c r="G56" s="52">
        <v>110</v>
      </c>
      <c r="H56" s="48">
        <f t="shared" si="4"/>
        <v>770</v>
      </c>
      <c r="I56" s="60" t="s">
        <v>163</v>
      </c>
      <c r="J56" s="5"/>
      <c r="K56" s="38" t="str">
        <f>IF(L56&lt;&gt;"",$K$8&amp;".10","")</f>
        <v>2.13.10</v>
      </c>
      <c r="L56" s="52" t="s">
        <v>28</v>
      </c>
      <c r="M56" s="52" t="s">
        <v>9</v>
      </c>
      <c r="N56" s="52" t="s">
        <v>19</v>
      </c>
      <c r="O56" s="52">
        <v>7</v>
      </c>
      <c r="P56" s="52">
        <v>110</v>
      </c>
      <c r="Q56" s="50">
        <f t="shared" si="5"/>
        <v>770</v>
      </c>
      <c r="R56" s="60" t="s">
        <v>163</v>
      </c>
    </row>
    <row r="57" spans="2:18" ht="15.75" thickBot="1" x14ac:dyDescent="0.3">
      <c r="B57" s="5"/>
      <c r="C57" s="5"/>
      <c r="D57" s="5"/>
      <c r="E57" s="5"/>
      <c r="F57" s="5"/>
      <c r="G57" s="5"/>
      <c r="H57" s="5"/>
      <c r="I57" s="5"/>
      <c r="J57" s="5"/>
      <c r="K57" s="5"/>
      <c r="L57" s="5"/>
      <c r="M57" s="5"/>
      <c r="N57" s="5"/>
      <c r="O57" s="5"/>
      <c r="P57" s="5"/>
      <c r="Q57" s="5"/>
      <c r="R57" s="5"/>
    </row>
    <row r="58" spans="2:18" ht="19.5" thickBot="1" x14ac:dyDescent="0.35">
      <c r="B58" s="118" t="str">
        <f>IF('Etap 2'!$C$9&lt;&gt;"",B9&amp;": "&amp;  'Etap 2'!$C$9,"")</f>
        <v>2.4: Zadanie P2.4</v>
      </c>
      <c r="C58" s="119"/>
      <c r="D58" s="119"/>
      <c r="E58" s="119"/>
      <c r="F58" s="119"/>
      <c r="G58" s="119"/>
      <c r="H58" s="119"/>
      <c r="I58" s="120"/>
      <c r="J58" s="5"/>
      <c r="K58" s="127" t="str">
        <f>IF('Etap 2'!$L$9&lt;&gt;"",K9&amp;": "&amp;  'Etap 2'!$L$9,"")</f>
        <v>2.14: Zadanie T2.4</v>
      </c>
      <c r="L58" s="128"/>
      <c r="M58" s="128"/>
      <c r="N58" s="128"/>
      <c r="O58" s="128"/>
      <c r="P58" s="128"/>
      <c r="Q58" s="128"/>
      <c r="R58" s="129"/>
    </row>
    <row r="59" spans="2:18" ht="15.75" customHeight="1" x14ac:dyDescent="0.25">
      <c r="B59" s="6" t="s">
        <v>1</v>
      </c>
      <c r="C59" s="7" t="s">
        <v>16</v>
      </c>
      <c r="D59" s="7" t="s">
        <v>3</v>
      </c>
      <c r="E59" s="7" t="s">
        <v>4</v>
      </c>
      <c r="F59" s="7" t="s">
        <v>15</v>
      </c>
      <c r="G59" s="7" t="s">
        <v>5</v>
      </c>
      <c r="H59" s="7" t="s">
        <v>6</v>
      </c>
      <c r="I59" s="8" t="s">
        <v>7</v>
      </c>
      <c r="J59" s="5"/>
      <c r="K59" s="34" t="s">
        <v>1</v>
      </c>
      <c r="L59" s="35" t="s">
        <v>16</v>
      </c>
      <c r="M59" s="35" t="s">
        <v>3</v>
      </c>
      <c r="N59" s="35" t="s">
        <v>4</v>
      </c>
      <c r="O59" s="35" t="s">
        <v>15</v>
      </c>
      <c r="P59" s="35" t="s">
        <v>5</v>
      </c>
      <c r="Q59" s="35" t="s">
        <v>6</v>
      </c>
      <c r="R59" s="36" t="s">
        <v>7</v>
      </c>
    </row>
    <row r="60" spans="2:18" ht="15.75" customHeight="1" x14ac:dyDescent="0.25">
      <c r="B60" s="41" t="str">
        <f>IF(C60&lt;&gt;"","2.4.1","")</f>
        <v>2.4.1</v>
      </c>
      <c r="C60" s="51" t="s">
        <v>17</v>
      </c>
      <c r="D60" s="51" t="s">
        <v>10</v>
      </c>
      <c r="E60" s="51" t="s">
        <v>19</v>
      </c>
      <c r="F60" s="51">
        <v>5</v>
      </c>
      <c r="G60" s="51">
        <v>50</v>
      </c>
      <c r="H60" s="45">
        <f t="shared" ref="H60:H69" si="6">IF(C60&lt;&gt;"",F60*G60,"")</f>
        <v>250</v>
      </c>
      <c r="I60" s="59" t="s">
        <v>154</v>
      </c>
      <c r="J60" s="5"/>
      <c r="K60" s="37" t="str">
        <f>IF(L60&lt;&gt;"",$K$9&amp;".1","")</f>
        <v>2.14.1</v>
      </c>
      <c r="L60" s="51" t="s">
        <v>17</v>
      </c>
      <c r="M60" s="51" t="s">
        <v>10</v>
      </c>
      <c r="N60" s="51" t="s">
        <v>19</v>
      </c>
      <c r="O60" s="51">
        <v>5</v>
      </c>
      <c r="P60" s="51">
        <v>50</v>
      </c>
      <c r="Q60" s="47">
        <f t="shared" ref="Q60:Q69" si="7">IF(L60&lt;&gt;"",O60*P60,"")</f>
        <v>250</v>
      </c>
      <c r="R60" s="59" t="s">
        <v>154</v>
      </c>
    </row>
    <row r="61" spans="2:18" ht="15.75" customHeight="1" x14ac:dyDescent="0.25">
      <c r="B61" s="41" t="str">
        <f>IF(C61&lt;&gt;"","2.4.2","")</f>
        <v>2.4.2</v>
      </c>
      <c r="C61" s="51" t="s">
        <v>20</v>
      </c>
      <c r="D61" s="51" t="s">
        <v>11</v>
      </c>
      <c r="E61" s="51" t="s">
        <v>13</v>
      </c>
      <c r="F61" s="51">
        <v>8</v>
      </c>
      <c r="G61" s="51">
        <v>20</v>
      </c>
      <c r="H61" s="45">
        <f t="shared" si="6"/>
        <v>160</v>
      </c>
      <c r="I61" s="59" t="s">
        <v>155</v>
      </c>
      <c r="J61" s="5"/>
      <c r="K61" s="37" t="str">
        <f>IF(L61&lt;&gt;"",$K$9&amp;".2","")</f>
        <v>2.14.2</v>
      </c>
      <c r="L61" s="51" t="s">
        <v>20</v>
      </c>
      <c r="M61" s="51" t="s">
        <v>11</v>
      </c>
      <c r="N61" s="51" t="s">
        <v>13</v>
      </c>
      <c r="O61" s="51">
        <v>8</v>
      </c>
      <c r="P61" s="51">
        <v>20</v>
      </c>
      <c r="Q61" s="47">
        <f t="shared" si="7"/>
        <v>160</v>
      </c>
      <c r="R61" s="59" t="s">
        <v>155</v>
      </c>
    </row>
    <row r="62" spans="2:18" ht="15.75" customHeight="1" x14ac:dyDescent="0.25">
      <c r="B62" s="41" t="str">
        <f>IF(C62&lt;&gt;"","2.4.3","")</f>
        <v>2.4.3</v>
      </c>
      <c r="C62" s="51" t="s">
        <v>21</v>
      </c>
      <c r="D62" s="51" t="s">
        <v>9</v>
      </c>
      <c r="E62" s="51" t="s">
        <v>19</v>
      </c>
      <c r="F62" s="51">
        <v>5</v>
      </c>
      <c r="G62" s="51">
        <v>8</v>
      </c>
      <c r="H62" s="45">
        <f t="shared" si="6"/>
        <v>40</v>
      </c>
      <c r="I62" s="59" t="s">
        <v>156</v>
      </c>
      <c r="J62" s="5"/>
      <c r="K62" s="37" t="str">
        <f>IF(L62&lt;&gt;"",$K$9&amp;".3","")</f>
        <v>2.14.3</v>
      </c>
      <c r="L62" s="51" t="s">
        <v>21</v>
      </c>
      <c r="M62" s="51" t="s">
        <v>9</v>
      </c>
      <c r="N62" s="51" t="s">
        <v>19</v>
      </c>
      <c r="O62" s="51">
        <v>5</v>
      </c>
      <c r="P62" s="51">
        <v>8</v>
      </c>
      <c r="Q62" s="47">
        <f t="shared" si="7"/>
        <v>40</v>
      </c>
      <c r="R62" s="59" t="s">
        <v>156</v>
      </c>
    </row>
    <row r="63" spans="2:18" ht="15.75" customHeight="1" x14ac:dyDescent="0.25">
      <c r="B63" s="41" t="str">
        <f>IF(C63&lt;&gt;"","2.4.4","")</f>
        <v>2.4.4</v>
      </c>
      <c r="C63" s="51" t="s">
        <v>22</v>
      </c>
      <c r="D63" s="51" t="s">
        <v>9</v>
      </c>
      <c r="E63" s="51" t="s">
        <v>19</v>
      </c>
      <c r="F63" s="51">
        <v>8</v>
      </c>
      <c r="G63" s="51">
        <v>12</v>
      </c>
      <c r="H63" s="45">
        <f t="shared" si="6"/>
        <v>96</v>
      </c>
      <c r="I63" s="59" t="s">
        <v>157</v>
      </c>
      <c r="J63" s="5"/>
      <c r="K63" s="37" t="str">
        <f>IF(L63&lt;&gt;"",$K$9&amp;".4","")</f>
        <v>2.14.4</v>
      </c>
      <c r="L63" s="51" t="s">
        <v>22</v>
      </c>
      <c r="M63" s="51" t="s">
        <v>9</v>
      </c>
      <c r="N63" s="51" t="s">
        <v>19</v>
      </c>
      <c r="O63" s="51">
        <v>8</v>
      </c>
      <c r="P63" s="51">
        <v>12</v>
      </c>
      <c r="Q63" s="47">
        <f t="shared" si="7"/>
        <v>96</v>
      </c>
      <c r="R63" s="59" t="s">
        <v>157</v>
      </c>
    </row>
    <row r="64" spans="2:18" ht="15.75" customHeight="1" x14ac:dyDescent="0.25">
      <c r="B64" s="41" t="str">
        <f>IF(C64&lt;&gt;"","2.4.5","")</f>
        <v>2.4.5</v>
      </c>
      <c r="C64" s="51" t="s">
        <v>23</v>
      </c>
      <c r="D64" s="51" t="s">
        <v>9</v>
      </c>
      <c r="E64" s="51" t="s">
        <v>19</v>
      </c>
      <c r="F64" s="51">
        <v>3</v>
      </c>
      <c r="G64" s="51">
        <v>16</v>
      </c>
      <c r="H64" s="45">
        <f t="shared" si="6"/>
        <v>48</v>
      </c>
      <c r="I64" s="59" t="s">
        <v>158</v>
      </c>
      <c r="J64" s="5"/>
      <c r="K64" s="37" t="str">
        <f>IF(L64&lt;&gt;"",$K$9&amp;".5","")</f>
        <v>2.14.5</v>
      </c>
      <c r="L64" s="51" t="s">
        <v>23</v>
      </c>
      <c r="M64" s="51" t="s">
        <v>9</v>
      </c>
      <c r="N64" s="51" t="s">
        <v>19</v>
      </c>
      <c r="O64" s="51">
        <v>3</v>
      </c>
      <c r="P64" s="51">
        <v>16</v>
      </c>
      <c r="Q64" s="47">
        <f t="shared" si="7"/>
        <v>48</v>
      </c>
      <c r="R64" s="59" t="s">
        <v>158</v>
      </c>
    </row>
    <row r="65" spans="2:18" ht="15.75" customHeight="1" x14ac:dyDescent="0.25">
      <c r="B65" s="41" t="str">
        <f>IF(C65&lt;&gt;"","2.4.6","")</f>
        <v>2.4.6</v>
      </c>
      <c r="C65" s="51" t="s">
        <v>24</v>
      </c>
      <c r="D65" s="51" t="s">
        <v>9</v>
      </c>
      <c r="E65" s="51" t="s">
        <v>19</v>
      </c>
      <c r="F65" s="51">
        <v>4</v>
      </c>
      <c r="G65" s="51">
        <v>8</v>
      </c>
      <c r="H65" s="45">
        <f t="shared" si="6"/>
        <v>32</v>
      </c>
      <c r="I65" s="59" t="s">
        <v>159</v>
      </c>
      <c r="J65" s="5"/>
      <c r="K65" s="37" t="str">
        <f>IF(L65&lt;&gt;"",$K$9&amp;".6","")</f>
        <v>2.14.6</v>
      </c>
      <c r="L65" s="51" t="s">
        <v>24</v>
      </c>
      <c r="M65" s="51" t="s">
        <v>9</v>
      </c>
      <c r="N65" s="51" t="s">
        <v>19</v>
      </c>
      <c r="O65" s="51">
        <v>4</v>
      </c>
      <c r="P65" s="51">
        <v>8</v>
      </c>
      <c r="Q65" s="47">
        <f t="shared" si="7"/>
        <v>32</v>
      </c>
      <c r="R65" s="59" t="s">
        <v>159</v>
      </c>
    </row>
    <row r="66" spans="2:18" x14ac:dyDescent="0.25">
      <c r="B66" s="41" t="str">
        <f>IF(C66&lt;&gt;"","2.4.7","")</f>
        <v>2.4.7</v>
      </c>
      <c r="C66" s="51" t="s">
        <v>26</v>
      </c>
      <c r="D66" s="51" t="s">
        <v>9</v>
      </c>
      <c r="E66" s="51" t="s">
        <v>19</v>
      </c>
      <c r="F66" s="51">
        <v>2</v>
      </c>
      <c r="G66" s="51">
        <v>55</v>
      </c>
      <c r="H66" s="45">
        <f t="shared" si="6"/>
        <v>110</v>
      </c>
      <c r="I66" s="59" t="s">
        <v>160</v>
      </c>
      <c r="J66" s="5"/>
      <c r="K66" s="37" t="str">
        <f>IF(L66&lt;&gt;"",$K$9&amp;".7","")</f>
        <v>2.14.7</v>
      </c>
      <c r="L66" s="51" t="s">
        <v>26</v>
      </c>
      <c r="M66" s="51" t="s">
        <v>9</v>
      </c>
      <c r="N66" s="51" t="s">
        <v>19</v>
      </c>
      <c r="O66" s="51">
        <v>2</v>
      </c>
      <c r="P66" s="51">
        <v>55</v>
      </c>
      <c r="Q66" s="47">
        <f t="shared" si="7"/>
        <v>110</v>
      </c>
      <c r="R66" s="59" t="s">
        <v>160</v>
      </c>
    </row>
    <row r="67" spans="2:18" x14ac:dyDescent="0.25">
      <c r="B67" s="41" t="str">
        <f>IF(C67&lt;&gt;"","2.4.8","")</f>
        <v>2.4.8</v>
      </c>
      <c r="C67" s="51" t="s">
        <v>25</v>
      </c>
      <c r="D67" s="51" t="s">
        <v>9</v>
      </c>
      <c r="E67" s="51" t="s">
        <v>19</v>
      </c>
      <c r="F67" s="51">
        <v>6</v>
      </c>
      <c r="G67" s="51">
        <v>80</v>
      </c>
      <c r="H67" s="45">
        <f t="shared" si="6"/>
        <v>480</v>
      </c>
      <c r="I67" s="59" t="s">
        <v>161</v>
      </c>
      <c r="J67" s="5"/>
      <c r="K67" s="37" t="str">
        <f>IF(L67&lt;&gt;"",$K$9&amp;".8","")</f>
        <v>2.14.8</v>
      </c>
      <c r="L67" s="51" t="s">
        <v>25</v>
      </c>
      <c r="M67" s="51" t="s">
        <v>9</v>
      </c>
      <c r="N67" s="51" t="s">
        <v>19</v>
      </c>
      <c r="O67" s="51">
        <v>6</v>
      </c>
      <c r="P67" s="51">
        <v>80</v>
      </c>
      <c r="Q67" s="47">
        <f t="shared" si="7"/>
        <v>480</v>
      </c>
      <c r="R67" s="59" t="s">
        <v>161</v>
      </c>
    </row>
    <row r="68" spans="2:18" x14ac:dyDescent="0.25">
      <c r="B68" s="41" t="str">
        <f>IF(C68&lt;&gt;"","2.4.9","")</f>
        <v>2.4.9</v>
      </c>
      <c r="C68" s="51" t="s">
        <v>27</v>
      </c>
      <c r="D68" s="51" t="s">
        <v>9</v>
      </c>
      <c r="E68" s="51" t="s">
        <v>19</v>
      </c>
      <c r="F68" s="51">
        <v>9</v>
      </c>
      <c r="G68" s="51">
        <v>90</v>
      </c>
      <c r="H68" s="45">
        <f t="shared" si="6"/>
        <v>810</v>
      </c>
      <c r="I68" s="59" t="s">
        <v>162</v>
      </c>
      <c r="J68" s="5"/>
      <c r="K68" s="37" t="str">
        <f>IF(L68&lt;&gt;"",$K$9&amp;".9","")</f>
        <v>2.14.9</v>
      </c>
      <c r="L68" s="51" t="s">
        <v>27</v>
      </c>
      <c r="M68" s="51" t="s">
        <v>9</v>
      </c>
      <c r="N68" s="51" t="s">
        <v>19</v>
      </c>
      <c r="O68" s="51">
        <v>9</v>
      </c>
      <c r="P68" s="51">
        <v>90</v>
      </c>
      <c r="Q68" s="47">
        <f t="shared" si="7"/>
        <v>810</v>
      </c>
      <c r="R68" s="59" t="s">
        <v>162</v>
      </c>
    </row>
    <row r="69" spans="2:18" ht="15.75" thickBot="1" x14ac:dyDescent="0.3">
      <c r="B69" s="42" t="str">
        <f>IF(C69&lt;&gt;"","2.4.10","")</f>
        <v>2.4.10</v>
      </c>
      <c r="C69" s="52" t="s">
        <v>28</v>
      </c>
      <c r="D69" s="52" t="s">
        <v>9</v>
      </c>
      <c r="E69" s="52" t="s">
        <v>19</v>
      </c>
      <c r="F69" s="52">
        <v>7</v>
      </c>
      <c r="G69" s="52">
        <v>110</v>
      </c>
      <c r="H69" s="48">
        <f t="shared" si="6"/>
        <v>770</v>
      </c>
      <c r="I69" s="60" t="s">
        <v>163</v>
      </c>
      <c r="J69" s="5"/>
      <c r="K69" s="38" t="str">
        <f>IF(L69&lt;&gt;"",$K$9&amp;".10","")</f>
        <v>2.14.10</v>
      </c>
      <c r="L69" s="52" t="s">
        <v>28</v>
      </c>
      <c r="M69" s="52" t="s">
        <v>9</v>
      </c>
      <c r="N69" s="52" t="s">
        <v>19</v>
      </c>
      <c r="O69" s="52">
        <v>7</v>
      </c>
      <c r="P69" s="52">
        <v>110</v>
      </c>
      <c r="Q69" s="50">
        <f t="shared" si="7"/>
        <v>770</v>
      </c>
      <c r="R69" s="60" t="s">
        <v>163</v>
      </c>
    </row>
    <row r="70" spans="2:18" ht="15.75" thickBot="1" x14ac:dyDescent="0.3">
      <c r="B70" s="5"/>
      <c r="C70" s="5"/>
      <c r="D70" s="5"/>
      <c r="E70" s="5"/>
      <c r="F70" s="5"/>
      <c r="G70" s="5"/>
      <c r="H70" s="5"/>
      <c r="I70" s="5"/>
      <c r="J70" s="5"/>
      <c r="K70" s="5"/>
      <c r="L70" s="5"/>
      <c r="M70" s="5"/>
      <c r="N70" s="5"/>
      <c r="O70" s="5"/>
      <c r="P70" s="5"/>
      <c r="Q70" s="5"/>
      <c r="R70" s="5"/>
    </row>
    <row r="71" spans="2:18" ht="19.5" thickBot="1" x14ac:dyDescent="0.35">
      <c r="B71" s="118" t="str">
        <f>IF('Etap 2'!$C$10&lt;&gt;"",B10&amp;": "&amp;  'Etap 2'!$C$10,"")</f>
        <v>2.5: Zadanie P2.5</v>
      </c>
      <c r="C71" s="119"/>
      <c r="D71" s="119"/>
      <c r="E71" s="119"/>
      <c r="F71" s="119"/>
      <c r="G71" s="119"/>
      <c r="H71" s="119"/>
      <c r="I71" s="120"/>
      <c r="J71" s="5"/>
      <c r="K71" s="127" t="str">
        <f>IF('Etap 2'!$L$10&lt;&gt;"",K10&amp;": "&amp;  'Etap 2'!$L$10,"")</f>
        <v>2.15: Zadanie T2.5</v>
      </c>
      <c r="L71" s="128"/>
      <c r="M71" s="128"/>
      <c r="N71" s="128"/>
      <c r="O71" s="128"/>
      <c r="P71" s="128"/>
      <c r="Q71" s="128"/>
      <c r="R71" s="129"/>
    </row>
    <row r="72" spans="2:18" x14ac:dyDescent="0.25">
      <c r="B72" s="6" t="s">
        <v>1</v>
      </c>
      <c r="C72" s="7" t="s">
        <v>16</v>
      </c>
      <c r="D72" s="7" t="s">
        <v>3</v>
      </c>
      <c r="E72" s="7" t="s">
        <v>4</v>
      </c>
      <c r="F72" s="7" t="s">
        <v>15</v>
      </c>
      <c r="G72" s="7" t="s">
        <v>5</v>
      </c>
      <c r="H72" s="7" t="s">
        <v>6</v>
      </c>
      <c r="I72" s="8" t="s">
        <v>7</v>
      </c>
      <c r="J72" s="5"/>
      <c r="K72" s="34" t="s">
        <v>1</v>
      </c>
      <c r="L72" s="35" t="s">
        <v>16</v>
      </c>
      <c r="M72" s="35" t="s">
        <v>3</v>
      </c>
      <c r="N72" s="35" t="s">
        <v>4</v>
      </c>
      <c r="O72" s="35" t="s">
        <v>15</v>
      </c>
      <c r="P72" s="35" t="s">
        <v>5</v>
      </c>
      <c r="Q72" s="35" t="s">
        <v>6</v>
      </c>
      <c r="R72" s="36" t="s">
        <v>7</v>
      </c>
    </row>
    <row r="73" spans="2:18" x14ac:dyDescent="0.25">
      <c r="B73" s="41" t="str">
        <f>IF(C73&lt;&gt;"","2.5.1","")</f>
        <v>2.5.1</v>
      </c>
      <c r="C73" s="51" t="s">
        <v>17</v>
      </c>
      <c r="D73" s="51" t="s">
        <v>10</v>
      </c>
      <c r="E73" s="51" t="s">
        <v>19</v>
      </c>
      <c r="F73" s="51">
        <v>5</v>
      </c>
      <c r="G73" s="51">
        <v>50</v>
      </c>
      <c r="H73" s="45">
        <f t="shared" ref="H73:H82" si="8">IF(C73&lt;&gt;"",F73*G73,"")</f>
        <v>250</v>
      </c>
      <c r="I73" s="59" t="s">
        <v>154</v>
      </c>
      <c r="J73" s="5"/>
      <c r="K73" s="37" t="str">
        <f>IF(L73&lt;&gt;"",$K$10&amp;".1","")</f>
        <v>2.15.1</v>
      </c>
      <c r="L73" s="51" t="s">
        <v>17</v>
      </c>
      <c r="M73" s="51" t="s">
        <v>10</v>
      </c>
      <c r="N73" s="51" t="s">
        <v>19</v>
      </c>
      <c r="O73" s="51">
        <v>5</v>
      </c>
      <c r="P73" s="51">
        <v>50</v>
      </c>
      <c r="Q73" s="47">
        <f t="shared" ref="Q73:Q82" si="9">IF(L73&lt;&gt;"",O73*P73,"")</f>
        <v>250</v>
      </c>
      <c r="R73" s="59" t="s">
        <v>154</v>
      </c>
    </row>
    <row r="74" spans="2:18" x14ac:dyDescent="0.25">
      <c r="B74" s="41" t="str">
        <f>IF(C74&lt;&gt;"","2.5.2","")</f>
        <v>2.5.2</v>
      </c>
      <c r="C74" s="51" t="s">
        <v>20</v>
      </c>
      <c r="D74" s="51" t="s">
        <v>11</v>
      </c>
      <c r="E74" s="51" t="s">
        <v>13</v>
      </c>
      <c r="F74" s="51">
        <v>8</v>
      </c>
      <c r="G74" s="51">
        <v>20</v>
      </c>
      <c r="H74" s="45">
        <f t="shared" si="8"/>
        <v>160</v>
      </c>
      <c r="I74" s="59" t="s">
        <v>155</v>
      </c>
      <c r="J74" s="5"/>
      <c r="K74" s="37" t="str">
        <f>IF(L74&lt;&gt;"",$K$10&amp;".2","")</f>
        <v>2.15.2</v>
      </c>
      <c r="L74" s="51" t="s">
        <v>20</v>
      </c>
      <c r="M74" s="51" t="s">
        <v>11</v>
      </c>
      <c r="N74" s="51" t="s">
        <v>13</v>
      </c>
      <c r="O74" s="51">
        <v>8</v>
      </c>
      <c r="P74" s="51">
        <v>20</v>
      </c>
      <c r="Q74" s="47">
        <f t="shared" si="9"/>
        <v>160</v>
      </c>
      <c r="R74" s="59" t="s">
        <v>155</v>
      </c>
    </row>
    <row r="75" spans="2:18" x14ac:dyDescent="0.25">
      <c r="B75" s="41" t="str">
        <f>IF(C75&lt;&gt;"","2.5.3","")</f>
        <v>2.5.3</v>
      </c>
      <c r="C75" s="51" t="s">
        <v>21</v>
      </c>
      <c r="D75" s="51" t="s">
        <v>9</v>
      </c>
      <c r="E75" s="51" t="s">
        <v>19</v>
      </c>
      <c r="F75" s="51">
        <v>5</v>
      </c>
      <c r="G75" s="51">
        <v>8</v>
      </c>
      <c r="H75" s="45">
        <f t="shared" si="8"/>
        <v>40</v>
      </c>
      <c r="I75" s="59" t="s">
        <v>156</v>
      </c>
      <c r="J75" s="5"/>
      <c r="K75" s="37" t="str">
        <f>IF(L75&lt;&gt;"",$K$10&amp;".3","")</f>
        <v>2.15.3</v>
      </c>
      <c r="L75" s="51" t="s">
        <v>21</v>
      </c>
      <c r="M75" s="51" t="s">
        <v>9</v>
      </c>
      <c r="N75" s="51" t="s">
        <v>19</v>
      </c>
      <c r="O75" s="51">
        <v>5</v>
      </c>
      <c r="P75" s="51">
        <v>8</v>
      </c>
      <c r="Q75" s="47">
        <f t="shared" si="9"/>
        <v>40</v>
      </c>
      <c r="R75" s="59" t="s">
        <v>156</v>
      </c>
    </row>
    <row r="76" spans="2:18" x14ac:dyDescent="0.25">
      <c r="B76" s="41" t="str">
        <f>IF(C76&lt;&gt;"","2.5.4","")</f>
        <v>2.5.4</v>
      </c>
      <c r="C76" s="51" t="s">
        <v>22</v>
      </c>
      <c r="D76" s="51" t="s">
        <v>9</v>
      </c>
      <c r="E76" s="51" t="s">
        <v>19</v>
      </c>
      <c r="F76" s="51">
        <v>8</v>
      </c>
      <c r="G76" s="51">
        <v>12</v>
      </c>
      <c r="H76" s="45">
        <f t="shared" si="8"/>
        <v>96</v>
      </c>
      <c r="I76" s="59" t="s">
        <v>157</v>
      </c>
      <c r="J76" s="5"/>
      <c r="K76" s="37" t="str">
        <f>IF(L76&lt;&gt;"",$K$10&amp;".4","")</f>
        <v>2.15.4</v>
      </c>
      <c r="L76" s="51" t="s">
        <v>22</v>
      </c>
      <c r="M76" s="51" t="s">
        <v>9</v>
      </c>
      <c r="N76" s="51" t="s">
        <v>19</v>
      </c>
      <c r="O76" s="51">
        <v>8</v>
      </c>
      <c r="P76" s="51">
        <v>12</v>
      </c>
      <c r="Q76" s="47">
        <f t="shared" si="9"/>
        <v>96</v>
      </c>
      <c r="R76" s="59" t="s">
        <v>157</v>
      </c>
    </row>
    <row r="77" spans="2:18" x14ac:dyDescent="0.25">
      <c r="B77" s="41" t="str">
        <f>IF(C77&lt;&gt;"","2.5.5","")</f>
        <v>2.5.5</v>
      </c>
      <c r="C77" s="51" t="s">
        <v>23</v>
      </c>
      <c r="D77" s="51" t="s">
        <v>9</v>
      </c>
      <c r="E77" s="51" t="s">
        <v>19</v>
      </c>
      <c r="F77" s="51">
        <v>3</v>
      </c>
      <c r="G77" s="51">
        <v>16</v>
      </c>
      <c r="H77" s="45">
        <f t="shared" si="8"/>
        <v>48</v>
      </c>
      <c r="I77" s="59" t="s">
        <v>158</v>
      </c>
      <c r="J77" s="5"/>
      <c r="K77" s="37" t="str">
        <f>IF(L77&lt;&gt;"",$K$10&amp;".5","")</f>
        <v>2.15.5</v>
      </c>
      <c r="L77" s="51" t="s">
        <v>23</v>
      </c>
      <c r="M77" s="51" t="s">
        <v>9</v>
      </c>
      <c r="N77" s="51" t="s">
        <v>19</v>
      </c>
      <c r="O77" s="51">
        <v>3</v>
      </c>
      <c r="P77" s="51">
        <v>16</v>
      </c>
      <c r="Q77" s="47">
        <f t="shared" si="9"/>
        <v>48</v>
      </c>
      <c r="R77" s="59" t="s">
        <v>158</v>
      </c>
    </row>
    <row r="78" spans="2:18" x14ac:dyDescent="0.25">
      <c r="B78" s="41" t="str">
        <f>IF(C78&lt;&gt;"","2.5.6","")</f>
        <v>2.5.6</v>
      </c>
      <c r="C78" s="51" t="s">
        <v>24</v>
      </c>
      <c r="D78" s="51" t="s">
        <v>9</v>
      </c>
      <c r="E78" s="51" t="s">
        <v>19</v>
      </c>
      <c r="F78" s="51">
        <v>4</v>
      </c>
      <c r="G78" s="51">
        <v>8</v>
      </c>
      <c r="H78" s="45">
        <f t="shared" si="8"/>
        <v>32</v>
      </c>
      <c r="I78" s="59" t="s">
        <v>159</v>
      </c>
      <c r="J78" s="5"/>
      <c r="K78" s="37" t="str">
        <f>IF(L78&lt;&gt;"",$K$10&amp;".6","")</f>
        <v>2.15.6</v>
      </c>
      <c r="L78" s="51" t="s">
        <v>24</v>
      </c>
      <c r="M78" s="51" t="s">
        <v>9</v>
      </c>
      <c r="N78" s="51" t="s">
        <v>19</v>
      </c>
      <c r="O78" s="51">
        <v>4</v>
      </c>
      <c r="P78" s="51">
        <v>8</v>
      </c>
      <c r="Q78" s="47">
        <f t="shared" si="9"/>
        <v>32</v>
      </c>
      <c r="R78" s="59" t="s">
        <v>159</v>
      </c>
    </row>
    <row r="79" spans="2:18" x14ac:dyDescent="0.25">
      <c r="B79" s="41" t="str">
        <f>IF(C79&lt;&gt;"","2.5.7","")</f>
        <v>2.5.7</v>
      </c>
      <c r="C79" s="51" t="s">
        <v>26</v>
      </c>
      <c r="D79" s="51" t="s">
        <v>9</v>
      </c>
      <c r="E79" s="51" t="s">
        <v>19</v>
      </c>
      <c r="F79" s="51">
        <v>2</v>
      </c>
      <c r="G79" s="51">
        <v>55</v>
      </c>
      <c r="H79" s="45">
        <f t="shared" si="8"/>
        <v>110</v>
      </c>
      <c r="I79" s="59" t="s">
        <v>160</v>
      </c>
      <c r="J79" s="5"/>
      <c r="K79" s="37" t="str">
        <f>IF(L79&lt;&gt;"",$K$10&amp;".7","")</f>
        <v>2.15.7</v>
      </c>
      <c r="L79" s="51" t="s">
        <v>26</v>
      </c>
      <c r="M79" s="51" t="s">
        <v>9</v>
      </c>
      <c r="N79" s="51" t="s">
        <v>19</v>
      </c>
      <c r="O79" s="51">
        <v>2</v>
      </c>
      <c r="P79" s="51">
        <v>55</v>
      </c>
      <c r="Q79" s="47">
        <f t="shared" si="9"/>
        <v>110</v>
      </c>
      <c r="R79" s="59" t="s">
        <v>160</v>
      </c>
    </row>
    <row r="80" spans="2:18" x14ac:dyDescent="0.25">
      <c r="B80" s="41" t="str">
        <f>IF(C80&lt;&gt;"","2.5.8","")</f>
        <v>2.5.8</v>
      </c>
      <c r="C80" s="51" t="s">
        <v>25</v>
      </c>
      <c r="D80" s="51" t="s">
        <v>9</v>
      </c>
      <c r="E80" s="51" t="s">
        <v>19</v>
      </c>
      <c r="F80" s="51">
        <v>6</v>
      </c>
      <c r="G80" s="51">
        <v>80</v>
      </c>
      <c r="H80" s="45">
        <f t="shared" si="8"/>
        <v>480</v>
      </c>
      <c r="I80" s="59" t="s">
        <v>161</v>
      </c>
      <c r="J80" s="5"/>
      <c r="K80" s="37" t="str">
        <f>IF(L80&lt;&gt;"",$K$10&amp;".8","")</f>
        <v>2.15.8</v>
      </c>
      <c r="L80" s="51" t="s">
        <v>25</v>
      </c>
      <c r="M80" s="51" t="s">
        <v>9</v>
      </c>
      <c r="N80" s="51" t="s">
        <v>19</v>
      </c>
      <c r="O80" s="51">
        <v>6</v>
      </c>
      <c r="P80" s="51">
        <v>80</v>
      </c>
      <c r="Q80" s="47">
        <f t="shared" si="9"/>
        <v>480</v>
      </c>
      <c r="R80" s="59" t="s">
        <v>161</v>
      </c>
    </row>
    <row r="81" spans="2:18" x14ac:dyDescent="0.25">
      <c r="B81" s="41" t="str">
        <f>IF(C81&lt;&gt;"","2.5.9","")</f>
        <v>2.5.9</v>
      </c>
      <c r="C81" s="51" t="s">
        <v>27</v>
      </c>
      <c r="D81" s="51" t="s">
        <v>9</v>
      </c>
      <c r="E81" s="51" t="s">
        <v>19</v>
      </c>
      <c r="F81" s="51">
        <v>9</v>
      </c>
      <c r="G81" s="51">
        <v>90</v>
      </c>
      <c r="H81" s="45">
        <f t="shared" si="8"/>
        <v>810</v>
      </c>
      <c r="I81" s="59" t="s">
        <v>162</v>
      </c>
      <c r="J81" s="5"/>
      <c r="K81" s="37" t="str">
        <f>IF(L81&lt;&gt;"",$K$10&amp;".9","")</f>
        <v>2.15.9</v>
      </c>
      <c r="L81" s="51" t="s">
        <v>27</v>
      </c>
      <c r="M81" s="51" t="s">
        <v>9</v>
      </c>
      <c r="N81" s="51" t="s">
        <v>19</v>
      </c>
      <c r="O81" s="51">
        <v>9</v>
      </c>
      <c r="P81" s="51">
        <v>90</v>
      </c>
      <c r="Q81" s="47">
        <f t="shared" si="9"/>
        <v>810</v>
      </c>
      <c r="R81" s="59" t="s">
        <v>162</v>
      </c>
    </row>
    <row r="82" spans="2:18" ht="15.75" thickBot="1" x14ac:dyDescent="0.3">
      <c r="B82" s="42" t="str">
        <f>IF(C82&lt;&gt;"","2.5.10","")</f>
        <v>2.5.10</v>
      </c>
      <c r="C82" s="52" t="s">
        <v>28</v>
      </c>
      <c r="D82" s="52" t="s">
        <v>9</v>
      </c>
      <c r="E82" s="52" t="s">
        <v>19</v>
      </c>
      <c r="F82" s="52">
        <v>7</v>
      </c>
      <c r="G82" s="52">
        <v>110</v>
      </c>
      <c r="H82" s="48">
        <f t="shared" si="8"/>
        <v>770</v>
      </c>
      <c r="I82" s="60" t="s">
        <v>163</v>
      </c>
      <c r="J82" s="5"/>
      <c r="K82" s="38" t="str">
        <f>IF(L82&lt;&gt;"",$K$10&amp;".10","")</f>
        <v>2.15.10</v>
      </c>
      <c r="L82" s="52" t="s">
        <v>28</v>
      </c>
      <c r="M82" s="52" t="s">
        <v>9</v>
      </c>
      <c r="N82" s="52" t="s">
        <v>19</v>
      </c>
      <c r="O82" s="52">
        <v>7</v>
      </c>
      <c r="P82" s="52">
        <v>110</v>
      </c>
      <c r="Q82" s="50">
        <f t="shared" si="9"/>
        <v>770</v>
      </c>
      <c r="R82" s="60" t="s">
        <v>163</v>
      </c>
    </row>
    <row r="83" spans="2:18" ht="15.75" thickBot="1" x14ac:dyDescent="0.3">
      <c r="B83" s="5"/>
      <c r="C83" s="5"/>
      <c r="D83" s="5"/>
      <c r="E83" s="5"/>
      <c r="F83" s="5"/>
      <c r="G83" s="5"/>
      <c r="H83" s="5"/>
      <c r="I83" s="5"/>
      <c r="J83" s="5"/>
      <c r="K83" s="5"/>
      <c r="L83" s="5"/>
      <c r="M83" s="5"/>
      <c r="N83" s="5"/>
      <c r="O83" s="5"/>
      <c r="P83" s="5"/>
      <c r="Q83" s="5"/>
      <c r="R83" s="5"/>
    </row>
    <row r="84" spans="2:18" ht="19.5" thickBot="1" x14ac:dyDescent="0.35">
      <c r="B84" s="118" t="str">
        <f>IF('Etap 2'!$C$11&lt;&gt;"",B11&amp;": "&amp;  'Etap 2'!$C$11,"")</f>
        <v>2.6: Zadanie P2.6</v>
      </c>
      <c r="C84" s="119"/>
      <c r="D84" s="119"/>
      <c r="E84" s="119"/>
      <c r="F84" s="119"/>
      <c r="G84" s="119"/>
      <c r="H84" s="119"/>
      <c r="I84" s="120"/>
      <c r="J84" s="5"/>
      <c r="K84" s="127" t="str">
        <f>IF('Etap 2'!$L$11&lt;&gt;"",K11&amp;": "&amp;  'Etap 2'!$L$11,"")</f>
        <v>2.16: Zadanie T2.6</v>
      </c>
      <c r="L84" s="128"/>
      <c r="M84" s="128"/>
      <c r="N84" s="128"/>
      <c r="O84" s="128"/>
      <c r="P84" s="128"/>
      <c r="Q84" s="128"/>
      <c r="R84" s="129"/>
    </row>
    <row r="85" spans="2:18" x14ac:dyDescent="0.25">
      <c r="B85" s="6" t="s">
        <v>1</v>
      </c>
      <c r="C85" s="7" t="s">
        <v>16</v>
      </c>
      <c r="D85" s="7" t="s">
        <v>3</v>
      </c>
      <c r="E85" s="7" t="s">
        <v>4</v>
      </c>
      <c r="F85" s="7" t="s">
        <v>15</v>
      </c>
      <c r="G85" s="7" t="s">
        <v>5</v>
      </c>
      <c r="H85" s="7" t="s">
        <v>6</v>
      </c>
      <c r="I85" s="8" t="s">
        <v>7</v>
      </c>
      <c r="J85" s="5"/>
      <c r="K85" s="34" t="s">
        <v>1</v>
      </c>
      <c r="L85" s="35" t="s">
        <v>16</v>
      </c>
      <c r="M85" s="35" t="s">
        <v>3</v>
      </c>
      <c r="N85" s="35" t="s">
        <v>4</v>
      </c>
      <c r="O85" s="35" t="s">
        <v>15</v>
      </c>
      <c r="P85" s="35" t="s">
        <v>5</v>
      </c>
      <c r="Q85" s="35" t="s">
        <v>6</v>
      </c>
      <c r="R85" s="36" t="s">
        <v>7</v>
      </c>
    </row>
    <row r="86" spans="2:18" x14ac:dyDescent="0.25">
      <c r="B86" s="41" t="str">
        <f>IF(C86&lt;&gt;"","2.6.1","")</f>
        <v>2.6.1</v>
      </c>
      <c r="C86" s="51" t="s">
        <v>17</v>
      </c>
      <c r="D86" s="51" t="s">
        <v>10</v>
      </c>
      <c r="E86" s="51" t="s">
        <v>19</v>
      </c>
      <c r="F86" s="51">
        <v>5</v>
      </c>
      <c r="G86" s="51">
        <v>50</v>
      </c>
      <c r="H86" s="45">
        <f t="shared" ref="H86:H95" si="10">IF(C86&lt;&gt;"",F86*G86,"")</f>
        <v>250</v>
      </c>
      <c r="I86" s="59" t="s">
        <v>154</v>
      </c>
      <c r="J86" s="5"/>
      <c r="K86" s="37" t="str">
        <f>IF(L86&lt;&gt;"",$K$11&amp;".1","")</f>
        <v>2.16.1</v>
      </c>
      <c r="L86" s="51" t="s">
        <v>17</v>
      </c>
      <c r="M86" s="51" t="s">
        <v>10</v>
      </c>
      <c r="N86" s="51" t="s">
        <v>19</v>
      </c>
      <c r="O86" s="51">
        <v>5</v>
      </c>
      <c r="P86" s="51">
        <v>50</v>
      </c>
      <c r="Q86" s="47">
        <f t="shared" ref="Q86:Q95" si="11">IF(L86&lt;&gt;"",O86*P86,"")</f>
        <v>250</v>
      </c>
      <c r="R86" s="59" t="s">
        <v>154</v>
      </c>
    </row>
    <row r="87" spans="2:18" x14ac:dyDescent="0.25">
      <c r="B87" s="41" t="str">
        <f>IF(C87&lt;&gt;"","2.6.2","")</f>
        <v>2.6.2</v>
      </c>
      <c r="C87" s="51" t="s">
        <v>20</v>
      </c>
      <c r="D87" s="51" t="s">
        <v>11</v>
      </c>
      <c r="E87" s="51" t="s">
        <v>13</v>
      </c>
      <c r="F87" s="51">
        <v>8</v>
      </c>
      <c r="G87" s="51">
        <v>20</v>
      </c>
      <c r="H87" s="45">
        <f t="shared" si="10"/>
        <v>160</v>
      </c>
      <c r="I87" s="59" t="s">
        <v>155</v>
      </c>
      <c r="J87" s="5"/>
      <c r="K87" s="37" t="str">
        <f>IF(L87&lt;&gt;"",$K$11&amp;".2","")</f>
        <v>2.16.2</v>
      </c>
      <c r="L87" s="51" t="s">
        <v>20</v>
      </c>
      <c r="M87" s="51" t="s">
        <v>11</v>
      </c>
      <c r="N87" s="51" t="s">
        <v>13</v>
      </c>
      <c r="O87" s="51">
        <v>8</v>
      </c>
      <c r="P87" s="51">
        <v>20</v>
      </c>
      <c r="Q87" s="47">
        <f t="shared" si="11"/>
        <v>160</v>
      </c>
      <c r="R87" s="59" t="s">
        <v>155</v>
      </c>
    </row>
    <row r="88" spans="2:18" x14ac:dyDescent="0.25">
      <c r="B88" s="41" t="str">
        <f>IF(C88&lt;&gt;"","2.6.3","")</f>
        <v>2.6.3</v>
      </c>
      <c r="C88" s="51" t="s">
        <v>21</v>
      </c>
      <c r="D88" s="51" t="s">
        <v>9</v>
      </c>
      <c r="E88" s="51" t="s">
        <v>19</v>
      </c>
      <c r="F88" s="51">
        <v>5</v>
      </c>
      <c r="G88" s="51">
        <v>8</v>
      </c>
      <c r="H88" s="45">
        <f t="shared" si="10"/>
        <v>40</v>
      </c>
      <c r="I88" s="59" t="s">
        <v>156</v>
      </c>
      <c r="J88" s="5"/>
      <c r="K88" s="37" t="str">
        <f>IF(L88&lt;&gt;"",$K$11&amp;".3","")</f>
        <v>2.16.3</v>
      </c>
      <c r="L88" s="51" t="s">
        <v>21</v>
      </c>
      <c r="M88" s="51" t="s">
        <v>9</v>
      </c>
      <c r="N88" s="51" t="s">
        <v>19</v>
      </c>
      <c r="O88" s="51">
        <v>5</v>
      </c>
      <c r="P88" s="51">
        <v>8</v>
      </c>
      <c r="Q88" s="47">
        <f t="shared" si="11"/>
        <v>40</v>
      </c>
      <c r="R88" s="59" t="s">
        <v>156</v>
      </c>
    </row>
    <row r="89" spans="2:18" x14ac:dyDescent="0.25">
      <c r="B89" s="41" t="str">
        <f>IF(C89&lt;&gt;"","2.6.4","")</f>
        <v>2.6.4</v>
      </c>
      <c r="C89" s="51" t="s">
        <v>22</v>
      </c>
      <c r="D89" s="51" t="s">
        <v>9</v>
      </c>
      <c r="E89" s="51" t="s">
        <v>19</v>
      </c>
      <c r="F89" s="51">
        <v>8</v>
      </c>
      <c r="G89" s="51">
        <v>12</v>
      </c>
      <c r="H89" s="45">
        <f t="shared" si="10"/>
        <v>96</v>
      </c>
      <c r="I89" s="59" t="s">
        <v>157</v>
      </c>
      <c r="J89" s="5"/>
      <c r="K89" s="37" t="str">
        <f>IF(L89&lt;&gt;"",$K$11&amp;".4","")</f>
        <v>2.16.4</v>
      </c>
      <c r="L89" s="51" t="s">
        <v>22</v>
      </c>
      <c r="M89" s="51" t="s">
        <v>9</v>
      </c>
      <c r="N89" s="51" t="s">
        <v>19</v>
      </c>
      <c r="O89" s="51">
        <v>8</v>
      </c>
      <c r="P89" s="51">
        <v>12</v>
      </c>
      <c r="Q89" s="47">
        <f t="shared" si="11"/>
        <v>96</v>
      </c>
      <c r="R89" s="59" t="s">
        <v>157</v>
      </c>
    </row>
    <row r="90" spans="2:18" x14ac:dyDescent="0.25">
      <c r="B90" s="41" t="str">
        <f>IF(C90&lt;&gt;"","2.6.5","")</f>
        <v>2.6.5</v>
      </c>
      <c r="C90" s="51" t="s">
        <v>23</v>
      </c>
      <c r="D90" s="51" t="s">
        <v>9</v>
      </c>
      <c r="E90" s="51" t="s">
        <v>19</v>
      </c>
      <c r="F90" s="51">
        <v>3</v>
      </c>
      <c r="G90" s="51">
        <v>16</v>
      </c>
      <c r="H90" s="45">
        <f t="shared" si="10"/>
        <v>48</v>
      </c>
      <c r="I90" s="59" t="s">
        <v>158</v>
      </c>
      <c r="J90" s="5"/>
      <c r="K90" s="37" t="str">
        <f>IF(L90&lt;&gt;"",$K$11&amp;".5","")</f>
        <v>2.16.5</v>
      </c>
      <c r="L90" s="51" t="s">
        <v>23</v>
      </c>
      <c r="M90" s="51" t="s">
        <v>9</v>
      </c>
      <c r="N90" s="51" t="s">
        <v>19</v>
      </c>
      <c r="O90" s="51">
        <v>3</v>
      </c>
      <c r="P90" s="51">
        <v>16</v>
      </c>
      <c r="Q90" s="47">
        <f t="shared" si="11"/>
        <v>48</v>
      </c>
      <c r="R90" s="59" t="s">
        <v>158</v>
      </c>
    </row>
    <row r="91" spans="2:18" x14ac:dyDescent="0.25">
      <c r="B91" s="41" t="str">
        <f>IF(C91&lt;&gt;"","2.6.6","")</f>
        <v>2.6.6</v>
      </c>
      <c r="C91" s="51" t="s">
        <v>24</v>
      </c>
      <c r="D91" s="51" t="s">
        <v>9</v>
      </c>
      <c r="E91" s="51" t="s">
        <v>19</v>
      </c>
      <c r="F91" s="51">
        <v>4</v>
      </c>
      <c r="G91" s="51">
        <v>8</v>
      </c>
      <c r="H91" s="45">
        <f t="shared" si="10"/>
        <v>32</v>
      </c>
      <c r="I91" s="59" t="s">
        <v>159</v>
      </c>
      <c r="J91" s="5"/>
      <c r="K91" s="37" t="str">
        <f>IF(L91&lt;&gt;"",$K$11&amp;".6","")</f>
        <v>2.16.6</v>
      </c>
      <c r="L91" s="51" t="s">
        <v>24</v>
      </c>
      <c r="M91" s="51" t="s">
        <v>9</v>
      </c>
      <c r="N91" s="51" t="s">
        <v>19</v>
      </c>
      <c r="O91" s="51">
        <v>4</v>
      </c>
      <c r="P91" s="51">
        <v>8</v>
      </c>
      <c r="Q91" s="47">
        <f t="shared" si="11"/>
        <v>32</v>
      </c>
      <c r="R91" s="59" t="s">
        <v>159</v>
      </c>
    </row>
    <row r="92" spans="2:18" x14ac:dyDescent="0.25">
      <c r="B92" s="41" t="str">
        <f>IF(C92&lt;&gt;"","2.6.7","")</f>
        <v>2.6.7</v>
      </c>
      <c r="C92" s="51" t="s">
        <v>26</v>
      </c>
      <c r="D92" s="51" t="s">
        <v>9</v>
      </c>
      <c r="E92" s="51" t="s">
        <v>19</v>
      </c>
      <c r="F92" s="51">
        <v>2</v>
      </c>
      <c r="G92" s="51">
        <v>55</v>
      </c>
      <c r="H92" s="45">
        <f t="shared" si="10"/>
        <v>110</v>
      </c>
      <c r="I92" s="59" t="s">
        <v>160</v>
      </c>
      <c r="J92" s="5"/>
      <c r="K92" s="37" t="str">
        <f>IF(L92&lt;&gt;"",$K$11&amp;".7","")</f>
        <v>2.16.7</v>
      </c>
      <c r="L92" s="51" t="s">
        <v>26</v>
      </c>
      <c r="M92" s="51" t="s">
        <v>9</v>
      </c>
      <c r="N92" s="51" t="s">
        <v>19</v>
      </c>
      <c r="O92" s="51">
        <v>2</v>
      </c>
      <c r="P92" s="51">
        <v>55</v>
      </c>
      <c r="Q92" s="47">
        <f t="shared" si="11"/>
        <v>110</v>
      </c>
      <c r="R92" s="59" t="s">
        <v>160</v>
      </c>
    </row>
    <row r="93" spans="2:18" x14ac:dyDescent="0.25">
      <c r="B93" s="41" t="str">
        <f>IF(C93&lt;&gt;"","2.6.8","")</f>
        <v>2.6.8</v>
      </c>
      <c r="C93" s="51" t="s">
        <v>25</v>
      </c>
      <c r="D93" s="51" t="s">
        <v>9</v>
      </c>
      <c r="E93" s="51" t="s">
        <v>19</v>
      </c>
      <c r="F93" s="51">
        <v>6</v>
      </c>
      <c r="G93" s="51">
        <v>80</v>
      </c>
      <c r="H93" s="45">
        <f t="shared" si="10"/>
        <v>480</v>
      </c>
      <c r="I93" s="59" t="s">
        <v>161</v>
      </c>
      <c r="J93" s="5"/>
      <c r="K93" s="37" t="str">
        <f>IF(L93&lt;&gt;"",$K$11&amp;".8","")</f>
        <v>2.16.8</v>
      </c>
      <c r="L93" s="51" t="s">
        <v>25</v>
      </c>
      <c r="M93" s="51" t="s">
        <v>9</v>
      </c>
      <c r="N93" s="51" t="s">
        <v>19</v>
      </c>
      <c r="O93" s="51">
        <v>6</v>
      </c>
      <c r="P93" s="51">
        <v>80</v>
      </c>
      <c r="Q93" s="47">
        <f t="shared" si="11"/>
        <v>480</v>
      </c>
      <c r="R93" s="59" t="s">
        <v>161</v>
      </c>
    </row>
    <row r="94" spans="2:18" x14ac:dyDescent="0.25">
      <c r="B94" s="41" t="str">
        <f>IF(C94&lt;&gt;"","2.6.9","")</f>
        <v>2.6.9</v>
      </c>
      <c r="C94" s="51" t="s">
        <v>27</v>
      </c>
      <c r="D94" s="51" t="s">
        <v>9</v>
      </c>
      <c r="E94" s="51" t="s">
        <v>19</v>
      </c>
      <c r="F94" s="51">
        <v>9</v>
      </c>
      <c r="G94" s="51">
        <v>90</v>
      </c>
      <c r="H94" s="45">
        <f t="shared" si="10"/>
        <v>810</v>
      </c>
      <c r="I94" s="59" t="s">
        <v>162</v>
      </c>
      <c r="J94" s="5"/>
      <c r="K94" s="37" t="str">
        <f>IF(L94&lt;&gt;"",$K$11&amp;".9","")</f>
        <v>2.16.9</v>
      </c>
      <c r="L94" s="51" t="s">
        <v>27</v>
      </c>
      <c r="M94" s="51" t="s">
        <v>9</v>
      </c>
      <c r="N94" s="51" t="s">
        <v>19</v>
      </c>
      <c r="O94" s="51">
        <v>9</v>
      </c>
      <c r="P94" s="51">
        <v>90</v>
      </c>
      <c r="Q94" s="47">
        <f t="shared" si="11"/>
        <v>810</v>
      </c>
      <c r="R94" s="59" t="s">
        <v>162</v>
      </c>
    </row>
    <row r="95" spans="2:18" ht="15.75" thickBot="1" x14ac:dyDescent="0.3">
      <c r="B95" s="42" t="str">
        <f>IF(C95&lt;&gt;"","2.6.10","")</f>
        <v>2.6.10</v>
      </c>
      <c r="C95" s="52" t="s">
        <v>28</v>
      </c>
      <c r="D95" s="52" t="s">
        <v>9</v>
      </c>
      <c r="E95" s="52" t="s">
        <v>19</v>
      </c>
      <c r="F95" s="52">
        <v>7</v>
      </c>
      <c r="G95" s="52">
        <v>110</v>
      </c>
      <c r="H95" s="48">
        <f t="shared" si="10"/>
        <v>770</v>
      </c>
      <c r="I95" s="60" t="s">
        <v>163</v>
      </c>
      <c r="J95" s="5"/>
      <c r="K95" s="38" t="str">
        <f>IF(L95&lt;&gt;"",$K$11&amp;".10","")</f>
        <v>2.16.10</v>
      </c>
      <c r="L95" s="52" t="s">
        <v>28</v>
      </c>
      <c r="M95" s="52" t="s">
        <v>9</v>
      </c>
      <c r="N95" s="52" t="s">
        <v>19</v>
      </c>
      <c r="O95" s="52">
        <v>7</v>
      </c>
      <c r="P95" s="52">
        <v>110</v>
      </c>
      <c r="Q95" s="50">
        <f t="shared" si="11"/>
        <v>770</v>
      </c>
      <c r="R95" s="60" t="s">
        <v>163</v>
      </c>
    </row>
    <row r="96" spans="2:18" ht="15.75" thickBot="1" x14ac:dyDescent="0.3">
      <c r="B96" s="5"/>
      <c r="C96" s="5"/>
      <c r="D96" s="5"/>
      <c r="E96" s="5"/>
      <c r="F96" s="5"/>
      <c r="G96" s="5"/>
      <c r="H96" s="5"/>
      <c r="I96" s="5"/>
      <c r="J96" s="5"/>
      <c r="K96" s="5"/>
      <c r="L96" s="5"/>
      <c r="M96" s="5"/>
      <c r="N96" s="5"/>
      <c r="O96" s="5"/>
      <c r="P96" s="5"/>
      <c r="Q96" s="5"/>
      <c r="R96" s="5"/>
    </row>
    <row r="97" spans="2:18" ht="19.5" thickBot="1" x14ac:dyDescent="0.35">
      <c r="B97" s="118" t="str">
        <f>IF('Etap 2'!$C$12&lt;&gt;"",B12&amp;": "&amp;  'Etap 2'!$C$12,"")</f>
        <v>2.7: Zadanie P2.7</v>
      </c>
      <c r="C97" s="119"/>
      <c r="D97" s="119"/>
      <c r="E97" s="119"/>
      <c r="F97" s="119"/>
      <c r="G97" s="119"/>
      <c r="H97" s="119"/>
      <c r="I97" s="120"/>
      <c r="J97" s="5"/>
      <c r="K97" s="127" t="str">
        <f>IF('Etap 2'!$L$12&lt;&gt;"",K12&amp;": "&amp;  'Etap 2'!$L$12,"")</f>
        <v>2.17: Zadanie T2.7</v>
      </c>
      <c r="L97" s="128"/>
      <c r="M97" s="128"/>
      <c r="N97" s="128"/>
      <c r="O97" s="128"/>
      <c r="P97" s="128"/>
      <c r="Q97" s="128"/>
      <c r="R97" s="129"/>
    </row>
    <row r="98" spans="2:18" x14ac:dyDescent="0.25">
      <c r="B98" s="6" t="s">
        <v>1</v>
      </c>
      <c r="C98" s="7" t="s">
        <v>16</v>
      </c>
      <c r="D98" s="7" t="s">
        <v>3</v>
      </c>
      <c r="E98" s="7" t="s">
        <v>4</v>
      </c>
      <c r="F98" s="7" t="s">
        <v>15</v>
      </c>
      <c r="G98" s="7" t="s">
        <v>5</v>
      </c>
      <c r="H98" s="7" t="s">
        <v>6</v>
      </c>
      <c r="I98" s="8" t="s">
        <v>7</v>
      </c>
      <c r="J98" s="5"/>
      <c r="K98" s="34" t="s">
        <v>1</v>
      </c>
      <c r="L98" s="35" t="s">
        <v>16</v>
      </c>
      <c r="M98" s="35" t="s">
        <v>3</v>
      </c>
      <c r="N98" s="35" t="s">
        <v>4</v>
      </c>
      <c r="O98" s="35" t="s">
        <v>15</v>
      </c>
      <c r="P98" s="35" t="s">
        <v>5</v>
      </c>
      <c r="Q98" s="35" t="s">
        <v>6</v>
      </c>
      <c r="R98" s="36" t="s">
        <v>7</v>
      </c>
    </row>
    <row r="99" spans="2:18" x14ac:dyDescent="0.25">
      <c r="B99" s="41" t="str">
        <f>IF(C99&lt;&gt;"","2.7.1","")</f>
        <v>2.7.1</v>
      </c>
      <c r="C99" s="51" t="s">
        <v>17</v>
      </c>
      <c r="D99" s="51" t="s">
        <v>10</v>
      </c>
      <c r="E99" s="51" t="s">
        <v>19</v>
      </c>
      <c r="F99" s="51">
        <v>5</v>
      </c>
      <c r="G99" s="51">
        <v>50</v>
      </c>
      <c r="H99" s="45">
        <f t="shared" ref="H99:H108" si="12">IF(C99&lt;&gt;"",F99*G99,"")</f>
        <v>250</v>
      </c>
      <c r="I99" s="59" t="s">
        <v>154</v>
      </c>
      <c r="J99" s="5"/>
      <c r="K99" s="37" t="str">
        <f>IF(L99&lt;&gt;"",$K$12&amp;".1","")</f>
        <v>2.17.1</v>
      </c>
      <c r="L99" s="51" t="s">
        <v>17</v>
      </c>
      <c r="M99" s="51" t="s">
        <v>10</v>
      </c>
      <c r="N99" s="51" t="s">
        <v>19</v>
      </c>
      <c r="O99" s="51">
        <v>5</v>
      </c>
      <c r="P99" s="51">
        <v>50</v>
      </c>
      <c r="Q99" s="47">
        <f t="shared" ref="Q99:Q108" si="13">IF(L99&lt;&gt;"",O99*P99,"")</f>
        <v>250</v>
      </c>
      <c r="R99" s="59" t="s">
        <v>154</v>
      </c>
    </row>
    <row r="100" spans="2:18" x14ac:dyDescent="0.25">
      <c r="B100" s="41" t="str">
        <f>IF(C100&lt;&gt;"","2.7.2","")</f>
        <v>2.7.2</v>
      </c>
      <c r="C100" s="51" t="s">
        <v>20</v>
      </c>
      <c r="D100" s="51" t="s">
        <v>11</v>
      </c>
      <c r="E100" s="51" t="s">
        <v>13</v>
      </c>
      <c r="F100" s="51">
        <v>8</v>
      </c>
      <c r="G100" s="51">
        <v>20</v>
      </c>
      <c r="H100" s="45">
        <f t="shared" si="12"/>
        <v>160</v>
      </c>
      <c r="I100" s="59" t="s">
        <v>155</v>
      </c>
      <c r="J100" s="5"/>
      <c r="K100" s="37" t="str">
        <f>IF(L100&lt;&gt;"",$K$12&amp;".2","")</f>
        <v>2.17.2</v>
      </c>
      <c r="L100" s="51" t="s">
        <v>20</v>
      </c>
      <c r="M100" s="51" t="s">
        <v>11</v>
      </c>
      <c r="N100" s="51" t="s">
        <v>13</v>
      </c>
      <c r="O100" s="51">
        <v>8</v>
      </c>
      <c r="P100" s="51">
        <v>20</v>
      </c>
      <c r="Q100" s="47">
        <f t="shared" si="13"/>
        <v>160</v>
      </c>
      <c r="R100" s="59" t="s">
        <v>155</v>
      </c>
    </row>
    <row r="101" spans="2:18" x14ac:dyDescent="0.25">
      <c r="B101" s="41" t="str">
        <f>IF(C101&lt;&gt;"","2.7.3","")</f>
        <v>2.7.3</v>
      </c>
      <c r="C101" s="51" t="s">
        <v>21</v>
      </c>
      <c r="D101" s="51" t="s">
        <v>9</v>
      </c>
      <c r="E101" s="51" t="s">
        <v>19</v>
      </c>
      <c r="F101" s="51">
        <v>5</v>
      </c>
      <c r="G101" s="51">
        <v>8</v>
      </c>
      <c r="H101" s="45">
        <f t="shared" si="12"/>
        <v>40</v>
      </c>
      <c r="I101" s="59" t="s">
        <v>156</v>
      </c>
      <c r="J101" s="5"/>
      <c r="K101" s="37" t="str">
        <f>IF(L101&lt;&gt;"",$K$12&amp;".3","")</f>
        <v>2.17.3</v>
      </c>
      <c r="L101" s="51" t="s">
        <v>21</v>
      </c>
      <c r="M101" s="51" t="s">
        <v>9</v>
      </c>
      <c r="N101" s="51" t="s">
        <v>19</v>
      </c>
      <c r="O101" s="51">
        <v>5</v>
      </c>
      <c r="P101" s="51">
        <v>8</v>
      </c>
      <c r="Q101" s="47">
        <f t="shared" si="13"/>
        <v>40</v>
      </c>
      <c r="R101" s="59" t="s">
        <v>156</v>
      </c>
    </row>
    <row r="102" spans="2:18" x14ac:dyDescent="0.25">
      <c r="B102" s="41" t="str">
        <f>IF(C102&lt;&gt;"","2.7.4","")</f>
        <v>2.7.4</v>
      </c>
      <c r="C102" s="51" t="s">
        <v>22</v>
      </c>
      <c r="D102" s="51" t="s">
        <v>9</v>
      </c>
      <c r="E102" s="51" t="s">
        <v>19</v>
      </c>
      <c r="F102" s="51">
        <v>8</v>
      </c>
      <c r="G102" s="51">
        <v>12</v>
      </c>
      <c r="H102" s="45">
        <f t="shared" si="12"/>
        <v>96</v>
      </c>
      <c r="I102" s="59" t="s">
        <v>157</v>
      </c>
      <c r="J102" s="5"/>
      <c r="K102" s="37" t="str">
        <f>IF(L102&lt;&gt;"",$K$12&amp;".4","")</f>
        <v>2.17.4</v>
      </c>
      <c r="L102" s="51" t="s">
        <v>22</v>
      </c>
      <c r="M102" s="51" t="s">
        <v>9</v>
      </c>
      <c r="N102" s="51" t="s">
        <v>19</v>
      </c>
      <c r="O102" s="51">
        <v>8</v>
      </c>
      <c r="P102" s="51">
        <v>12</v>
      </c>
      <c r="Q102" s="47">
        <f t="shared" si="13"/>
        <v>96</v>
      </c>
      <c r="R102" s="59" t="s">
        <v>157</v>
      </c>
    </row>
    <row r="103" spans="2:18" x14ac:dyDescent="0.25">
      <c r="B103" s="41" t="str">
        <f>IF(C103&lt;&gt;"","2.7.5","")</f>
        <v>2.7.5</v>
      </c>
      <c r="C103" s="51" t="s">
        <v>23</v>
      </c>
      <c r="D103" s="51" t="s">
        <v>9</v>
      </c>
      <c r="E103" s="51" t="s">
        <v>19</v>
      </c>
      <c r="F103" s="51">
        <v>3</v>
      </c>
      <c r="G103" s="51">
        <v>16</v>
      </c>
      <c r="H103" s="45">
        <f t="shared" si="12"/>
        <v>48</v>
      </c>
      <c r="I103" s="59" t="s">
        <v>158</v>
      </c>
      <c r="J103" s="5"/>
      <c r="K103" s="37" t="str">
        <f>IF(L103&lt;&gt;"",$K$12&amp;".5","")</f>
        <v>2.17.5</v>
      </c>
      <c r="L103" s="51" t="s">
        <v>23</v>
      </c>
      <c r="M103" s="51" t="s">
        <v>9</v>
      </c>
      <c r="N103" s="51" t="s">
        <v>19</v>
      </c>
      <c r="O103" s="51">
        <v>3</v>
      </c>
      <c r="P103" s="51">
        <v>16</v>
      </c>
      <c r="Q103" s="47">
        <f t="shared" si="13"/>
        <v>48</v>
      </c>
      <c r="R103" s="59" t="s">
        <v>158</v>
      </c>
    </row>
    <row r="104" spans="2:18" x14ac:dyDescent="0.25">
      <c r="B104" s="41" t="str">
        <f>IF(C104&lt;&gt;"","2.7.6","")</f>
        <v>2.7.6</v>
      </c>
      <c r="C104" s="51" t="s">
        <v>24</v>
      </c>
      <c r="D104" s="51" t="s">
        <v>9</v>
      </c>
      <c r="E104" s="51" t="s">
        <v>19</v>
      </c>
      <c r="F104" s="51">
        <v>4</v>
      </c>
      <c r="G104" s="51">
        <v>8</v>
      </c>
      <c r="H104" s="45">
        <f t="shared" si="12"/>
        <v>32</v>
      </c>
      <c r="I104" s="59" t="s">
        <v>159</v>
      </c>
      <c r="J104" s="5"/>
      <c r="K104" s="37" t="str">
        <f>IF(L104&lt;&gt;"",$K$12&amp;".6","")</f>
        <v>2.17.6</v>
      </c>
      <c r="L104" s="51" t="s">
        <v>24</v>
      </c>
      <c r="M104" s="51" t="s">
        <v>9</v>
      </c>
      <c r="N104" s="51" t="s">
        <v>19</v>
      </c>
      <c r="O104" s="51">
        <v>4</v>
      </c>
      <c r="P104" s="51">
        <v>8</v>
      </c>
      <c r="Q104" s="47">
        <f t="shared" si="13"/>
        <v>32</v>
      </c>
      <c r="R104" s="59" t="s">
        <v>159</v>
      </c>
    </row>
    <row r="105" spans="2:18" x14ac:dyDescent="0.25">
      <c r="B105" s="41" t="str">
        <f>IF(C105&lt;&gt;"","2.7.7","")</f>
        <v>2.7.7</v>
      </c>
      <c r="C105" s="51" t="s">
        <v>26</v>
      </c>
      <c r="D105" s="51" t="s">
        <v>9</v>
      </c>
      <c r="E105" s="51" t="s">
        <v>19</v>
      </c>
      <c r="F105" s="51">
        <v>2</v>
      </c>
      <c r="G105" s="51">
        <v>55</v>
      </c>
      <c r="H105" s="45">
        <f t="shared" si="12"/>
        <v>110</v>
      </c>
      <c r="I105" s="59" t="s">
        <v>160</v>
      </c>
      <c r="J105" s="5"/>
      <c r="K105" s="37" t="str">
        <f>IF(L105&lt;&gt;"",$K$12&amp;".7","")</f>
        <v>2.17.7</v>
      </c>
      <c r="L105" s="51" t="s">
        <v>26</v>
      </c>
      <c r="M105" s="51" t="s">
        <v>9</v>
      </c>
      <c r="N105" s="51" t="s">
        <v>19</v>
      </c>
      <c r="O105" s="51">
        <v>2</v>
      </c>
      <c r="P105" s="51">
        <v>55</v>
      </c>
      <c r="Q105" s="47">
        <f t="shared" si="13"/>
        <v>110</v>
      </c>
      <c r="R105" s="59" t="s">
        <v>160</v>
      </c>
    </row>
    <row r="106" spans="2:18" x14ac:dyDescent="0.25">
      <c r="B106" s="41" t="str">
        <f>IF(C106&lt;&gt;"","2.7.8","")</f>
        <v>2.7.8</v>
      </c>
      <c r="C106" s="51" t="s">
        <v>25</v>
      </c>
      <c r="D106" s="51" t="s">
        <v>9</v>
      </c>
      <c r="E106" s="51" t="s">
        <v>19</v>
      </c>
      <c r="F106" s="51">
        <v>6</v>
      </c>
      <c r="G106" s="51">
        <v>80</v>
      </c>
      <c r="H106" s="45">
        <f t="shared" si="12"/>
        <v>480</v>
      </c>
      <c r="I106" s="59" t="s">
        <v>161</v>
      </c>
      <c r="J106" s="5"/>
      <c r="K106" s="37" t="str">
        <f>IF(L106&lt;&gt;"",$K$12&amp;".8","")</f>
        <v>2.17.8</v>
      </c>
      <c r="L106" s="51" t="s">
        <v>25</v>
      </c>
      <c r="M106" s="51" t="s">
        <v>9</v>
      </c>
      <c r="N106" s="51" t="s">
        <v>19</v>
      </c>
      <c r="O106" s="51">
        <v>6</v>
      </c>
      <c r="P106" s="51">
        <v>80</v>
      </c>
      <c r="Q106" s="47">
        <f t="shared" si="13"/>
        <v>480</v>
      </c>
      <c r="R106" s="59" t="s">
        <v>161</v>
      </c>
    </row>
    <row r="107" spans="2:18" x14ac:dyDescent="0.25">
      <c r="B107" s="41" t="str">
        <f>IF(C107&lt;&gt;"","2.7.9","")</f>
        <v>2.7.9</v>
      </c>
      <c r="C107" s="51" t="s">
        <v>27</v>
      </c>
      <c r="D107" s="51" t="s">
        <v>9</v>
      </c>
      <c r="E107" s="51" t="s">
        <v>19</v>
      </c>
      <c r="F107" s="51">
        <v>9</v>
      </c>
      <c r="G107" s="51">
        <v>90</v>
      </c>
      <c r="H107" s="45">
        <f t="shared" si="12"/>
        <v>810</v>
      </c>
      <c r="I107" s="59" t="s">
        <v>162</v>
      </c>
      <c r="J107" s="5"/>
      <c r="K107" s="37" t="str">
        <f>IF(L107&lt;&gt;"",$K$12&amp;".9","")</f>
        <v>2.17.9</v>
      </c>
      <c r="L107" s="51" t="s">
        <v>27</v>
      </c>
      <c r="M107" s="51" t="s">
        <v>9</v>
      </c>
      <c r="N107" s="51" t="s">
        <v>19</v>
      </c>
      <c r="O107" s="51">
        <v>9</v>
      </c>
      <c r="P107" s="51">
        <v>90</v>
      </c>
      <c r="Q107" s="47">
        <f t="shared" si="13"/>
        <v>810</v>
      </c>
      <c r="R107" s="59" t="s">
        <v>162</v>
      </c>
    </row>
    <row r="108" spans="2:18" ht="15.75" thickBot="1" x14ac:dyDescent="0.3">
      <c r="B108" s="42" t="str">
        <f>IF(C108&lt;&gt;"","2.7.10","")</f>
        <v>2.7.10</v>
      </c>
      <c r="C108" s="52" t="s">
        <v>28</v>
      </c>
      <c r="D108" s="52" t="s">
        <v>9</v>
      </c>
      <c r="E108" s="52" t="s">
        <v>19</v>
      </c>
      <c r="F108" s="52">
        <v>7</v>
      </c>
      <c r="G108" s="52">
        <v>110</v>
      </c>
      <c r="H108" s="48">
        <f t="shared" si="12"/>
        <v>770</v>
      </c>
      <c r="I108" s="60" t="s">
        <v>163</v>
      </c>
      <c r="J108" s="5"/>
      <c r="K108" s="38" t="str">
        <f>IF(L108&lt;&gt;"",$K$12&amp;".10","")</f>
        <v>2.17.10</v>
      </c>
      <c r="L108" s="52" t="s">
        <v>28</v>
      </c>
      <c r="M108" s="52" t="s">
        <v>9</v>
      </c>
      <c r="N108" s="52" t="s">
        <v>19</v>
      </c>
      <c r="O108" s="52">
        <v>7</v>
      </c>
      <c r="P108" s="52">
        <v>110</v>
      </c>
      <c r="Q108" s="50">
        <f t="shared" si="13"/>
        <v>770</v>
      </c>
      <c r="R108" s="60" t="s">
        <v>163</v>
      </c>
    </row>
    <row r="109" spans="2:18" ht="15.75" thickBot="1" x14ac:dyDescent="0.3">
      <c r="B109" s="5"/>
      <c r="C109" s="5"/>
      <c r="D109" s="5"/>
      <c r="E109" s="5"/>
      <c r="F109" s="5"/>
      <c r="G109" s="5"/>
      <c r="H109" s="5"/>
      <c r="I109" s="5"/>
      <c r="J109" s="5"/>
      <c r="K109" s="5"/>
      <c r="L109" s="5"/>
      <c r="M109" s="5"/>
      <c r="N109" s="5"/>
      <c r="O109" s="5"/>
      <c r="P109" s="5"/>
      <c r="Q109" s="5"/>
      <c r="R109" s="5"/>
    </row>
    <row r="110" spans="2:18" ht="19.5" thickBot="1" x14ac:dyDescent="0.35">
      <c r="B110" s="118" t="str">
        <f>IF('Etap 2'!$C$13&lt;&gt;"", B13&amp;": "&amp;  'Etap 2'!$C$13,"")</f>
        <v>2.8: Zadanie P2.8</v>
      </c>
      <c r="C110" s="119"/>
      <c r="D110" s="119"/>
      <c r="E110" s="119"/>
      <c r="F110" s="119"/>
      <c r="G110" s="119"/>
      <c r="H110" s="119"/>
      <c r="I110" s="120"/>
      <c r="J110" s="5"/>
      <c r="K110" s="127" t="str">
        <f>IF('Etap 2'!$L$13&lt;&gt;"",K13&amp;": "&amp;  'Etap 2'!$L$13,"")</f>
        <v>2.18: Zadanie T2.8</v>
      </c>
      <c r="L110" s="128"/>
      <c r="M110" s="128"/>
      <c r="N110" s="128"/>
      <c r="O110" s="128"/>
      <c r="P110" s="128"/>
      <c r="Q110" s="128"/>
      <c r="R110" s="129"/>
    </row>
    <row r="111" spans="2:18" x14ac:dyDescent="0.25">
      <c r="B111" s="6" t="s">
        <v>1</v>
      </c>
      <c r="C111" s="7" t="s">
        <v>16</v>
      </c>
      <c r="D111" s="7" t="s">
        <v>3</v>
      </c>
      <c r="E111" s="7" t="s">
        <v>4</v>
      </c>
      <c r="F111" s="7" t="s">
        <v>15</v>
      </c>
      <c r="G111" s="7" t="s">
        <v>5</v>
      </c>
      <c r="H111" s="7" t="s">
        <v>6</v>
      </c>
      <c r="I111" s="8" t="s">
        <v>7</v>
      </c>
      <c r="J111" s="5"/>
      <c r="K111" s="34" t="s">
        <v>1</v>
      </c>
      <c r="L111" s="35" t="s">
        <v>16</v>
      </c>
      <c r="M111" s="35" t="s">
        <v>3</v>
      </c>
      <c r="N111" s="35" t="s">
        <v>4</v>
      </c>
      <c r="O111" s="35" t="s">
        <v>15</v>
      </c>
      <c r="P111" s="35" t="s">
        <v>5</v>
      </c>
      <c r="Q111" s="35" t="s">
        <v>6</v>
      </c>
      <c r="R111" s="36" t="s">
        <v>7</v>
      </c>
    </row>
    <row r="112" spans="2:18" x14ac:dyDescent="0.25">
      <c r="B112" s="41" t="str">
        <f>IF(C112&lt;&gt;"","2.8.1","")</f>
        <v>2.8.1</v>
      </c>
      <c r="C112" s="51" t="s">
        <v>17</v>
      </c>
      <c r="D112" s="51" t="s">
        <v>10</v>
      </c>
      <c r="E112" s="51" t="s">
        <v>19</v>
      </c>
      <c r="F112" s="51">
        <v>5</v>
      </c>
      <c r="G112" s="51">
        <v>50</v>
      </c>
      <c r="H112" s="45">
        <f t="shared" ref="H112:H121" si="14">IF(C112&lt;&gt;"",F112*G112,"")</f>
        <v>250</v>
      </c>
      <c r="I112" s="59" t="s">
        <v>154</v>
      </c>
      <c r="J112" s="5"/>
      <c r="K112" s="37" t="str">
        <f>IF(L112&lt;&gt;"",$K$13&amp;".1","")</f>
        <v>2.18.1</v>
      </c>
      <c r="L112" s="51" t="s">
        <v>17</v>
      </c>
      <c r="M112" s="51" t="s">
        <v>10</v>
      </c>
      <c r="N112" s="51" t="s">
        <v>19</v>
      </c>
      <c r="O112" s="51">
        <v>5</v>
      </c>
      <c r="P112" s="51">
        <v>50</v>
      </c>
      <c r="Q112" s="47">
        <f t="shared" ref="Q112:Q121" si="15">IF(L112&lt;&gt;"",O112*P112,"")</f>
        <v>250</v>
      </c>
      <c r="R112" s="59" t="s">
        <v>154</v>
      </c>
    </row>
    <row r="113" spans="2:18" x14ac:dyDescent="0.25">
      <c r="B113" s="41" t="str">
        <f>IF(C113&lt;&gt;"","2.8.2","")</f>
        <v>2.8.2</v>
      </c>
      <c r="C113" s="51" t="s">
        <v>20</v>
      </c>
      <c r="D113" s="51" t="s">
        <v>11</v>
      </c>
      <c r="E113" s="51" t="s">
        <v>13</v>
      </c>
      <c r="F113" s="51">
        <v>8</v>
      </c>
      <c r="G113" s="51">
        <v>20</v>
      </c>
      <c r="H113" s="45">
        <f t="shared" si="14"/>
        <v>160</v>
      </c>
      <c r="I113" s="59" t="s">
        <v>155</v>
      </c>
      <c r="J113" s="5"/>
      <c r="K113" s="37" t="str">
        <f>IF(L113&lt;&gt;"",$K$13&amp;".2","")</f>
        <v>2.18.2</v>
      </c>
      <c r="L113" s="51" t="s">
        <v>20</v>
      </c>
      <c r="M113" s="51" t="s">
        <v>11</v>
      </c>
      <c r="N113" s="51" t="s">
        <v>13</v>
      </c>
      <c r="O113" s="51">
        <v>8</v>
      </c>
      <c r="P113" s="51">
        <v>20</v>
      </c>
      <c r="Q113" s="47">
        <f t="shared" si="15"/>
        <v>160</v>
      </c>
      <c r="R113" s="59" t="s">
        <v>155</v>
      </c>
    </row>
    <row r="114" spans="2:18" x14ac:dyDescent="0.25">
      <c r="B114" s="41" t="str">
        <f>IF(C114&lt;&gt;"","2.8.3","")</f>
        <v>2.8.3</v>
      </c>
      <c r="C114" s="51" t="s">
        <v>21</v>
      </c>
      <c r="D114" s="51" t="s">
        <v>9</v>
      </c>
      <c r="E114" s="51" t="s">
        <v>19</v>
      </c>
      <c r="F114" s="51">
        <v>5</v>
      </c>
      <c r="G114" s="51">
        <v>8</v>
      </c>
      <c r="H114" s="45">
        <f t="shared" si="14"/>
        <v>40</v>
      </c>
      <c r="I114" s="59" t="s">
        <v>156</v>
      </c>
      <c r="J114" s="5"/>
      <c r="K114" s="37" t="str">
        <f>IF(L114&lt;&gt;"",$K$13&amp;".3","")</f>
        <v>2.18.3</v>
      </c>
      <c r="L114" s="51" t="s">
        <v>21</v>
      </c>
      <c r="M114" s="51" t="s">
        <v>9</v>
      </c>
      <c r="N114" s="51" t="s">
        <v>19</v>
      </c>
      <c r="O114" s="51">
        <v>5</v>
      </c>
      <c r="P114" s="51">
        <v>8</v>
      </c>
      <c r="Q114" s="47">
        <f t="shared" si="15"/>
        <v>40</v>
      </c>
      <c r="R114" s="59" t="s">
        <v>156</v>
      </c>
    </row>
    <row r="115" spans="2:18" x14ac:dyDescent="0.25">
      <c r="B115" s="41" t="str">
        <f>IF(C115&lt;&gt;"","2.8.4","")</f>
        <v>2.8.4</v>
      </c>
      <c r="C115" s="51" t="s">
        <v>22</v>
      </c>
      <c r="D115" s="51" t="s">
        <v>9</v>
      </c>
      <c r="E115" s="51" t="s">
        <v>19</v>
      </c>
      <c r="F115" s="51">
        <v>8</v>
      </c>
      <c r="G115" s="51">
        <v>12</v>
      </c>
      <c r="H115" s="45">
        <f t="shared" si="14"/>
        <v>96</v>
      </c>
      <c r="I115" s="59" t="s">
        <v>157</v>
      </c>
      <c r="J115" s="5"/>
      <c r="K115" s="37" t="str">
        <f>IF(L115&lt;&gt;"",$K$13&amp;".4","")</f>
        <v>2.18.4</v>
      </c>
      <c r="L115" s="51" t="s">
        <v>22</v>
      </c>
      <c r="M115" s="51" t="s">
        <v>9</v>
      </c>
      <c r="N115" s="51" t="s">
        <v>19</v>
      </c>
      <c r="O115" s="51">
        <v>8</v>
      </c>
      <c r="P115" s="51">
        <v>12</v>
      </c>
      <c r="Q115" s="47">
        <f t="shared" si="15"/>
        <v>96</v>
      </c>
      <c r="R115" s="59" t="s">
        <v>157</v>
      </c>
    </row>
    <row r="116" spans="2:18" x14ac:dyDescent="0.25">
      <c r="B116" s="41" t="str">
        <f>IF(C116&lt;&gt;"","2.8.5","")</f>
        <v>2.8.5</v>
      </c>
      <c r="C116" s="51" t="s">
        <v>23</v>
      </c>
      <c r="D116" s="51" t="s">
        <v>9</v>
      </c>
      <c r="E116" s="51" t="s">
        <v>19</v>
      </c>
      <c r="F116" s="51">
        <v>3</v>
      </c>
      <c r="G116" s="51">
        <v>16</v>
      </c>
      <c r="H116" s="45">
        <f t="shared" si="14"/>
        <v>48</v>
      </c>
      <c r="I116" s="59" t="s">
        <v>158</v>
      </c>
      <c r="J116" s="5"/>
      <c r="K116" s="37" t="str">
        <f>IF(L116&lt;&gt;"",$K$13&amp;".5","")</f>
        <v>2.18.5</v>
      </c>
      <c r="L116" s="51" t="s">
        <v>23</v>
      </c>
      <c r="M116" s="51" t="s">
        <v>9</v>
      </c>
      <c r="N116" s="51" t="s">
        <v>19</v>
      </c>
      <c r="O116" s="51">
        <v>3</v>
      </c>
      <c r="P116" s="51">
        <v>16</v>
      </c>
      <c r="Q116" s="47">
        <f t="shared" si="15"/>
        <v>48</v>
      </c>
      <c r="R116" s="59" t="s">
        <v>158</v>
      </c>
    </row>
    <row r="117" spans="2:18" x14ac:dyDescent="0.25">
      <c r="B117" s="41" t="str">
        <f>IF(C117&lt;&gt;"","2.8.6","")</f>
        <v>2.8.6</v>
      </c>
      <c r="C117" s="51" t="s">
        <v>24</v>
      </c>
      <c r="D117" s="51" t="s">
        <v>9</v>
      </c>
      <c r="E117" s="51" t="s">
        <v>19</v>
      </c>
      <c r="F117" s="51">
        <v>4</v>
      </c>
      <c r="G117" s="51">
        <v>8</v>
      </c>
      <c r="H117" s="45">
        <f t="shared" si="14"/>
        <v>32</v>
      </c>
      <c r="I117" s="59" t="s">
        <v>159</v>
      </c>
      <c r="J117" s="5"/>
      <c r="K117" s="37" t="str">
        <f>IF(L117&lt;&gt;"",$K$13&amp;".6","")</f>
        <v>2.18.6</v>
      </c>
      <c r="L117" s="51" t="s">
        <v>24</v>
      </c>
      <c r="M117" s="51" t="s">
        <v>9</v>
      </c>
      <c r="N117" s="51" t="s">
        <v>19</v>
      </c>
      <c r="O117" s="51">
        <v>4</v>
      </c>
      <c r="P117" s="51">
        <v>8</v>
      </c>
      <c r="Q117" s="47">
        <f t="shared" si="15"/>
        <v>32</v>
      </c>
      <c r="R117" s="59" t="s">
        <v>159</v>
      </c>
    </row>
    <row r="118" spans="2:18" x14ac:dyDescent="0.25">
      <c r="B118" s="41" t="str">
        <f>IF(C118&lt;&gt;"","2.8.7","")</f>
        <v>2.8.7</v>
      </c>
      <c r="C118" s="51" t="s">
        <v>26</v>
      </c>
      <c r="D118" s="51" t="s">
        <v>9</v>
      </c>
      <c r="E118" s="51" t="s">
        <v>19</v>
      </c>
      <c r="F118" s="51">
        <v>2</v>
      </c>
      <c r="G118" s="51">
        <v>55</v>
      </c>
      <c r="H118" s="45">
        <f t="shared" si="14"/>
        <v>110</v>
      </c>
      <c r="I118" s="59" t="s">
        <v>160</v>
      </c>
      <c r="J118" s="5"/>
      <c r="K118" s="37" t="str">
        <f>IF(L118&lt;&gt;"",$K$13&amp;".7","")</f>
        <v>2.18.7</v>
      </c>
      <c r="L118" s="51" t="s">
        <v>26</v>
      </c>
      <c r="M118" s="51" t="s">
        <v>9</v>
      </c>
      <c r="N118" s="51" t="s">
        <v>19</v>
      </c>
      <c r="O118" s="51">
        <v>2</v>
      </c>
      <c r="P118" s="51">
        <v>55</v>
      </c>
      <c r="Q118" s="47">
        <f t="shared" si="15"/>
        <v>110</v>
      </c>
      <c r="R118" s="59" t="s">
        <v>160</v>
      </c>
    </row>
    <row r="119" spans="2:18" x14ac:dyDescent="0.25">
      <c r="B119" s="41" t="str">
        <f>IF(C119&lt;&gt;"","2.8.8","")</f>
        <v>2.8.8</v>
      </c>
      <c r="C119" s="51" t="s">
        <v>25</v>
      </c>
      <c r="D119" s="51" t="s">
        <v>9</v>
      </c>
      <c r="E119" s="51" t="s">
        <v>19</v>
      </c>
      <c r="F119" s="51">
        <v>6</v>
      </c>
      <c r="G119" s="51">
        <v>80</v>
      </c>
      <c r="H119" s="45">
        <f t="shared" si="14"/>
        <v>480</v>
      </c>
      <c r="I119" s="59" t="s">
        <v>161</v>
      </c>
      <c r="J119" s="5"/>
      <c r="K119" s="37" t="str">
        <f>IF(L119&lt;&gt;"",$K$13&amp;".8","")</f>
        <v>2.18.8</v>
      </c>
      <c r="L119" s="51" t="s">
        <v>25</v>
      </c>
      <c r="M119" s="51" t="s">
        <v>9</v>
      </c>
      <c r="N119" s="51" t="s">
        <v>19</v>
      </c>
      <c r="O119" s="51">
        <v>6</v>
      </c>
      <c r="P119" s="51">
        <v>80</v>
      </c>
      <c r="Q119" s="47">
        <f t="shared" si="15"/>
        <v>480</v>
      </c>
      <c r="R119" s="59" t="s">
        <v>161</v>
      </c>
    </row>
    <row r="120" spans="2:18" x14ac:dyDescent="0.25">
      <c r="B120" s="41" t="str">
        <f>IF(C120&lt;&gt;"","2.8.9","")</f>
        <v>2.8.9</v>
      </c>
      <c r="C120" s="51" t="s">
        <v>27</v>
      </c>
      <c r="D120" s="51" t="s">
        <v>9</v>
      </c>
      <c r="E120" s="51" t="s">
        <v>19</v>
      </c>
      <c r="F120" s="51">
        <v>9</v>
      </c>
      <c r="G120" s="51">
        <v>90</v>
      </c>
      <c r="H120" s="45">
        <f t="shared" si="14"/>
        <v>810</v>
      </c>
      <c r="I120" s="59" t="s">
        <v>162</v>
      </c>
      <c r="J120" s="5"/>
      <c r="K120" s="37" t="str">
        <f>IF(L120&lt;&gt;"",$K$13&amp;".9","")</f>
        <v>2.18.9</v>
      </c>
      <c r="L120" s="51" t="s">
        <v>27</v>
      </c>
      <c r="M120" s="51" t="s">
        <v>9</v>
      </c>
      <c r="N120" s="51" t="s">
        <v>19</v>
      </c>
      <c r="O120" s="51">
        <v>9</v>
      </c>
      <c r="P120" s="51">
        <v>90</v>
      </c>
      <c r="Q120" s="47">
        <f t="shared" si="15"/>
        <v>810</v>
      </c>
      <c r="R120" s="59" t="s">
        <v>162</v>
      </c>
    </row>
    <row r="121" spans="2:18" ht="15.75" thickBot="1" x14ac:dyDescent="0.3">
      <c r="B121" s="42" t="str">
        <f>IF(C121&lt;&gt;"","2.8.10","")</f>
        <v>2.8.10</v>
      </c>
      <c r="C121" s="52" t="s">
        <v>28</v>
      </c>
      <c r="D121" s="52" t="s">
        <v>9</v>
      </c>
      <c r="E121" s="52" t="s">
        <v>19</v>
      </c>
      <c r="F121" s="52">
        <v>7</v>
      </c>
      <c r="G121" s="52">
        <v>110</v>
      </c>
      <c r="H121" s="48">
        <f t="shared" si="14"/>
        <v>770</v>
      </c>
      <c r="I121" s="60" t="s">
        <v>163</v>
      </c>
      <c r="J121" s="5"/>
      <c r="K121" s="38" t="str">
        <f>IF(L121&lt;&gt;"",$K$13&amp;".10","")</f>
        <v>2.18.10</v>
      </c>
      <c r="L121" s="52" t="s">
        <v>28</v>
      </c>
      <c r="M121" s="52" t="s">
        <v>9</v>
      </c>
      <c r="N121" s="52" t="s">
        <v>19</v>
      </c>
      <c r="O121" s="52">
        <v>7</v>
      </c>
      <c r="P121" s="52">
        <v>110</v>
      </c>
      <c r="Q121" s="50">
        <f t="shared" si="15"/>
        <v>770</v>
      </c>
      <c r="R121" s="60" t="s">
        <v>163</v>
      </c>
    </row>
    <row r="122" spans="2:18" ht="15.75" thickBot="1" x14ac:dyDescent="0.3">
      <c r="B122" s="5"/>
      <c r="C122" s="5"/>
      <c r="D122" s="5"/>
      <c r="E122" s="5"/>
      <c r="F122" s="5"/>
      <c r="G122" s="5"/>
      <c r="H122" s="5"/>
      <c r="I122" s="5"/>
      <c r="J122" s="5"/>
      <c r="K122" s="5"/>
      <c r="L122" s="5"/>
      <c r="M122" s="5"/>
      <c r="N122" s="5"/>
      <c r="O122" s="5"/>
      <c r="P122" s="5"/>
      <c r="Q122" s="5"/>
      <c r="R122" s="5"/>
    </row>
    <row r="123" spans="2:18" ht="19.5" thickBot="1" x14ac:dyDescent="0.35">
      <c r="B123" s="118" t="str">
        <f>IF('Etap 2'!$C$14&lt;&gt;"",B14&amp;": "&amp;  'Etap 2'!$C$14,"")</f>
        <v>2.9: Zadanie P2.9</v>
      </c>
      <c r="C123" s="119"/>
      <c r="D123" s="119"/>
      <c r="E123" s="119"/>
      <c r="F123" s="119"/>
      <c r="G123" s="119"/>
      <c r="H123" s="119"/>
      <c r="I123" s="120"/>
      <c r="J123" s="5"/>
      <c r="K123" s="127" t="str">
        <f>IF('Etap 2'!$L$14&lt;&gt;"",K14&amp;": "&amp;  'Etap 2'!$L$14,"")</f>
        <v>2.19: Zadanie T2.9</v>
      </c>
      <c r="L123" s="128"/>
      <c r="M123" s="128"/>
      <c r="N123" s="128"/>
      <c r="O123" s="128"/>
      <c r="P123" s="128"/>
      <c r="Q123" s="128"/>
      <c r="R123" s="129"/>
    </row>
    <row r="124" spans="2:18" x14ac:dyDescent="0.25">
      <c r="B124" s="6" t="s">
        <v>1</v>
      </c>
      <c r="C124" s="7" t="s">
        <v>16</v>
      </c>
      <c r="D124" s="7" t="s">
        <v>3</v>
      </c>
      <c r="E124" s="7" t="s">
        <v>4</v>
      </c>
      <c r="F124" s="7" t="s">
        <v>15</v>
      </c>
      <c r="G124" s="7" t="s">
        <v>5</v>
      </c>
      <c r="H124" s="7" t="s">
        <v>6</v>
      </c>
      <c r="I124" s="8" t="s">
        <v>7</v>
      </c>
      <c r="J124" s="5"/>
      <c r="K124" s="34" t="s">
        <v>1</v>
      </c>
      <c r="L124" s="35" t="s">
        <v>16</v>
      </c>
      <c r="M124" s="35" t="s">
        <v>3</v>
      </c>
      <c r="N124" s="35" t="s">
        <v>4</v>
      </c>
      <c r="O124" s="35" t="s">
        <v>15</v>
      </c>
      <c r="P124" s="35" t="s">
        <v>5</v>
      </c>
      <c r="Q124" s="35" t="s">
        <v>6</v>
      </c>
      <c r="R124" s="36" t="s">
        <v>7</v>
      </c>
    </row>
    <row r="125" spans="2:18" x14ac:dyDescent="0.25">
      <c r="B125" s="41" t="str">
        <f>IF(C125&lt;&gt;"","2.9.1","")</f>
        <v>2.9.1</v>
      </c>
      <c r="C125" s="51" t="s">
        <v>17</v>
      </c>
      <c r="D125" s="51" t="s">
        <v>10</v>
      </c>
      <c r="E125" s="51" t="s">
        <v>19</v>
      </c>
      <c r="F125" s="51">
        <v>5</v>
      </c>
      <c r="G125" s="51">
        <v>50</v>
      </c>
      <c r="H125" s="45">
        <f t="shared" ref="H125:H134" si="16">IF(C125&lt;&gt;"",F125*G125,"")</f>
        <v>250</v>
      </c>
      <c r="I125" s="59" t="s">
        <v>154</v>
      </c>
      <c r="J125" s="5"/>
      <c r="K125" s="37" t="str">
        <f>IF(L125&lt;&gt;"",$K$14&amp;".1","")</f>
        <v>2.19.1</v>
      </c>
      <c r="L125" s="51" t="s">
        <v>17</v>
      </c>
      <c r="M125" s="51" t="s">
        <v>10</v>
      </c>
      <c r="N125" s="51" t="s">
        <v>19</v>
      </c>
      <c r="O125" s="51">
        <v>5</v>
      </c>
      <c r="P125" s="51">
        <v>50</v>
      </c>
      <c r="Q125" s="47">
        <f t="shared" ref="Q125:Q134" si="17">IF(L125&lt;&gt;"",O125*P125,"")</f>
        <v>250</v>
      </c>
      <c r="R125" s="59" t="s">
        <v>154</v>
      </c>
    </row>
    <row r="126" spans="2:18" x14ac:dyDescent="0.25">
      <c r="B126" s="41" t="str">
        <f>IF(C126&lt;&gt;"","2.9.2","")</f>
        <v>2.9.2</v>
      </c>
      <c r="C126" s="51" t="s">
        <v>20</v>
      </c>
      <c r="D126" s="51" t="s">
        <v>11</v>
      </c>
      <c r="E126" s="51" t="s">
        <v>13</v>
      </c>
      <c r="F126" s="51">
        <v>8</v>
      </c>
      <c r="G126" s="51">
        <v>20</v>
      </c>
      <c r="H126" s="45">
        <f t="shared" si="16"/>
        <v>160</v>
      </c>
      <c r="I126" s="59" t="s">
        <v>155</v>
      </c>
      <c r="J126" s="5"/>
      <c r="K126" s="37" t="str">
        <f>IF(L126&lt;&gt;"",$K$14&amp;".2","")</f>
        <v>2.19.2</v>
      </c>
      <c r="L126" s="51" t="s">
        <v>20</v>
      </c>
      <c r="M126" s="51" t="s">
        <v>11</v>
      </c>
      <c r="N126" s="51" t="s">
        <v>13</v>
      </c>
      <c r="O126" s="51">
        <v>8</v>
      </c>
      <c r="P126" s="51">
        <v>20</v>
      </c>
      <c r="Q126" s="47">
        <f t="shared" si="17"/>
        <v>160</v>
      </c>
      <c r="R126" s="59" t="s">
        <v>155</v>
      </c>
    </row>
    <row r="127" spans="2:18" x14ac:dyDescent="0.25">
      <c r="B127" s="41" t="str">
        <f>IF(C127&lt;&gt;"","2.9.3","")</f>
        <v>2.9.3</v>
      </c>
      <c r="C127" s="51" t="s">
        <v>21</v>
      </c>
      <c r="D127" s="51" t="s">
        <v>9</v>
      </c>
      <c r="E127" s="51" t="s">
        <v>19</v>
      </c>
      <c r="F127" s="51">
        <v>5</v>
      </c>
      <c r="G127" s="51">
        <v>8</v>
      </c>
      <c r="H127" s="45">
        <f t="shared" si="16"/>
        <v>40</v>
      </c>
      <c r="I127" s="59" t="s">
        <v>156</v>
      </c>
      <c r="J127" s="5"/>
      <c r="K127" s="37" t="str">
        <f>IF(L127&lt;&gt;"",$K$14&amp;".3","")</f>
        <v>2.19.3</v>
      </c>
      <c r="L127" s="51" t="s">
        <v>21</v>
      </c>
      <c r="M127" s="51" t="s">
        <v>9</v>
      </c>
      <c r="N127" s="51" t="s">
        <v>19</v>
      </c>
      <c r="O127" s="51">
        <v>5</v>
      </c>
      <c r="P127" s="51">
        <v>8</v>
      </c>
      <c r="Q127" s="47">
        <f t="shared" si="17"/>
        <v>40</v>
      </c>
      <c r="R127" s="59" t="s">
        <v>156</v>
      </c>
    </row>
    <row r="128" spans="2:18" x14ac:dyDescent="0.25">
      <c r="B128" s="41" t="str">
        <f>IF(C128&lt;&gt;"","2.9.4","")</f>
        <v>2.9.4</v>
      </c>
      <c r="C128" s="51" t="s">
        <v>22</v>
      </c>
      <c r="D128" s="51" t="s">
        <v>9</v>
      </c>
      <c r="E128" s="51" t="s">
        <v>19</v>
      </c>
      <c r="F128" s="51">
        <v>8</v>
      </c>
      <c r="G128" s="51">
        <v>12</v>
      </c>
      <c r="H128" s="45">
        <f t="shared" si="16"/>
        <v>96</v>
      </c>
      <c r="I128" s="59" t="s">
        <v>157</v>
      </c>
      <c r="J128" s="5"/>
      <c r="K128" s="37" t="str">
        <f>IF(L128&lt;&gt;"",$K$14&amp;".4","")</f>
        <v>2.19.4</v>
      </c>
      <c r="L128" s="51" t="s">
        <v>22</v>
      </c>
      <c r="M128" s="51" t="s">
        <v>9</v>
      </c>
      <c r="N128" s="51" t="s">
        <v>19</v>
      </c>
      <c r="O128" s="51">
        <v>8</v>
      </c>
      <c r="P128" s="51">
        <v>12</v>
      </c>
      <c r="Q128" s="47">
        <f t="shared" si="17"/>
        <v>96</v>
      </c>
      <c r="R128" s="59" t="s">
        <v>157</v>
      </c>
    </row>
    <row r="129" spans="2:18" x14ac:dyDescent="0.25">
      <c r="B129" s="41" t="str">
        <f>IF(C129&lt;&gt;"","2.9.5","")</f>
        <v>2.9.5</v>
      </c>
      <c r="C129" s="51" t="s">
        <v>23</v>
      </c>
      <c r="D129" s="51" t="s">
        <v>9</v>
      </c>
      <c r="E129" s="51" t="s">
        <v>19</v>
      </c>
      <c r="F129" s="51">
        <v>3</v>
      </c>
      <c r="G129" s="51">
        <v>16</v>
      </c>
      <c r="H129" s="45">
        <f t="shared" si="16"/>
        <v>48</v>
      </c>
      <c r="I129" s="59" t="s">
        <v>158</v>
      </c>
      <c r="J129" s="5"/>
      <c r="K129" s="37" t="str">
        <f>IF(L129&lt;&gt;"",$K$14&amp;".5","")</f>
        <v>2.19.5</v>
      </c>
      <c r="L129" s="51" t="s">
        <v>23</v>
      </c>
      <c r="M129" s="51" t="s">
        <v>9</v>
      </c>
      <c r="N129" s="51" t="s">
        <v>19</v>
      </c>
      <c r="O129" s="51">
        <v>3</v>
      </c>
      <c r="P129" s="51">
        <v>16</v>
      </c>
      <c r="Q129" s="47">
        <f t="shared" si="17"/>
        <v>48</v>
      </c>
      <c r="R129" s="59" t="s">
        <v>158</v>
      </c>
    </row>
    <row r="130" spans="2:18" x14ac:dyDescent="0.25">
      <c r="B130" s="41" t="str">
        <f>IF(C130&lt;&gt;"","2.9.6","")</f>
        <v>2.9.6</v>
      </c>
      <c r="C130" s="51" t="s">
        <v>24</v>
      </c>
      <c r="D130" s="51" t="s">
        <v>9</v>
      </c>
      <c r="E130" s="51" t="s">
        <v>19</v>
      </c>
      <c r="F130" s="51">
        <v>4</v>
      </c>
      <c r="G130" s="51">
        <v>8</v>
      </c>
      <c r="H130" s="45">
        <f t="shared" si="16"/>
        <v>32</v>
      </c>
      <c r="I130" s="59" t="s">
        <v>159</v>
      </c>
      <c r="J130" s="5"/>
      <c r="K130" s="37" t="str">
        <f>IF(L130&lt;&gt;"",$K$14&amp;".6","")</f>
        <v>2.19.6</v>
      </c>
      <c r="L130" s="51" t="s">
        <v>24</v>
      </c>
      <c r="M130" s="51" t="s">
        <v>9</v>
      </c>
      <c r="N130" s="51" t="s">
        <v>19</v>
      </c>
      <c r="O130" s="51">
        <v>4</v>
      </c>
      <c r="P130" s="51">
        <v>8</v>
      </c>
      <c r="Q130" s="47">
        <f t="shared" si="17"/>
        <v>32</v>
      </c>
      <c r="R130" s="59" t="s">
        <v>159</v>
      </c>
    </row>
    <row r="131" spans="2:18" x14ac:dyDescent="0.25">
      <c r="B131" s="41" t="str">
        <f>IF(C131&lt;&gt;"","2.9.7","")</f>
        <v>2.9.7</v>
      </c>
      <c r="C131" s="51" t="s">
        <v>26</v>
      </c>
      <c r="D131" s="51" t="s">
        <v>9</v>
      </c>
      <c r="E131" s="51" t="s">
        <v>19</v>
      </c>
      <c r="F131" s="51">
        <v>2</v>
      </c>
      <c r="G131" s="51">
        <v>55</v>
      </c>
      <c r="H131" s="45">
        <f t="shared" si="16"/>
        <v>110</v>
      </c>
      <c r="I131" s="59" t="s">
        <v>160</v>
      </c>
      <c r="J131" s="5"/>
      <c r="K131" s="37" t="str">
        <f>IF(L131&lt;&gt;"",$K$14&amp;".7","")</f>
        <v>2.19.7</v>
      </c>
      <c r="L131" s="51" t="s">
        <v>26</v>
      </c>
      <c r="M131" s="51" t="s">
        <v>9</v>
      </c>
      <c r="N131" s="51" t="s">
        <v>19</v>
      </c>
      <c r="O131" s="51">
        <v>2</v>
      </c>
      <c r="P131" s="51">
        <v>55</v>
      </c>
      <c r="Q131" s="47">
        <f t="shared" si="17"/>
        <v>110</v>
      </c>
      <c r="R131" s="59" t="s">
        <v>160</v>
      </c>
    </row>
    <row r="132" spans="2:18" x14ac:dyDescent="0.25">
      <c r="B132" s="41" t="str">
        <f>IF(C132&lt;&gt;"","2.9.8","")</f>
        <v>2.9.8</v>
      </c>
      <c r="C132" s="51" t="s">
        <v>25</v>
      </c>
      <c r="D132" s="51" t="s">
        <v>9</v>
      </c>
      <c r="E132" s="51" t="s">
        <v>19</v>
      </c>
      <c r="F132" s="51">
        <v>6</v>
      </c>
      <c r="G132" s="51">
        <v>80</v>
      </c>
      <c r="H132" s="45">
        <f t="shared" si="16"/>
        <v>480</v>
      </c>
      <c r="I132" s="59" t="s">
        <v>161</v>
      </c>
      <c r="J132" s="5"/>
      <c r="K132" s="37" t="str">
        <f>IF(L132&lt;&gt;"",$K$14&amp;".8","")</f>
        <v>2.19.8</v>
      </c>
      <c r="L132" s="51" t="s">
        <v>25</v>
      </c>
      <c r="M132" s="51" t="s">
        <v>9</v>
      </c>
      <c r="N132" s="51" t="s">
        <v>19</v>
      </c>
      <c r="O132" s="51">
        <v>6</v>
      </c>
      <c r="P132" s="51">
        <v>80</v>
      </c>
      <c r="Q132" s="47">
        <f t="shared" si="17"/>
        <v>480</v>
      </c>
      <c r="R132" s="59" t="s">
        <v>161</v>
      </c>
    </row>
    <row r="133" spans="2:18" x14ac:dyDescent="0.25">
      <c r="B133" s="41" t="str">
        <f>IF(C133&lt;&gt;"","2.9.9","")</f>
        <v>2.9.9</v>
      </c>
      <c r="C133" s="51" t="s">
        <v>27</v>
      </c>
      <c r="D133" s="51" t="s">
        <v>9</v>
      </c>
      <c r="E133" s="51" t="s">
        <v>19</v>
      </c>
      <c r="F133" s="51">
        <v>9</v>
      </c>
      <c r="G133" s="51">
        <v>90</v>
      </c>
      <c r="H133" s="45">
        <f t="shared" si="16"/>
        <v>810</v>
      </c>
      <c r="I133" s="59" t="s">
        <v>162</v>
      </c>
      <c r="J133" s="5"/>
      <c r="K133" s="37" t="str">
        <f>IF(L133&lt;&gt;"",$K$14&amp;".9","")</f>
        <v>2.19.9</v>
      </c>
      <c r="L133" s="51" t="s">
        <v>27</v>
      </c>
      <c r="M133" s="51" t="s">
        <v>9</v>
      </c>
      <c r="N133" s="51" t="s">
        <v>19</v>
      </c>
      <c r="O133" s="51">
        <v>9</v>
      </c>
      <c r="P133" s="51">
        <v>90</v>
      </c>
      <c r="Q133" s="47">
        <f t="shared" si="17"/>
        <v>810</v>
      </c>
      <c r="R133" s="59" t="s">
        <v>162</v>
      </c>
    </row>
    <row r="134" spans="2:18" ht="15.75" thickBot="1" x14ac:dyDescent="0.3">
      <c r="B134" s="42" t="str">
        <f>IF(C134&lt;&gt;"","2.9.10","")</f>
        <v>2.9.10</v>
      </c>
      <c r="C134" s="52" t="s">
        <v>28</v>
      </c>
      <c r="D134" s="52" t="s">
        <v>9</v>
      </c>
      <c r="E134" s="52" t="s">
        <v>19</v>
      </c>
      <c r="F134" s="52">
        <v>7</v>
      </c>
      <c r="G134" s="52">
        <v>110</v>
      </c>
      <c r="H134" s="48">
        <f t="shared" si="16"/>
        <v>770</v>
      </c>
      <c r="I134" s="60" t="s">
        <v>163</v>
      </c>
      <c r="J134" s="5"/>
      <c r="K134" s="38" t="str">
        <f>IF(L134&lt;&gt;"",$K$14&amp;".10","")</f>
        <v>2.19.10</v>
      </c>
      <c r="L134" s="52" t="s">
        <v>28</v>
      </c>
      <c r="M134" s="52" t="s">
        <v>9</v>
      </c>
      <c r="N134" s="52" t="s">
        <v>19</v>
      </c>
      <c r="O134" s="52">
        <v>7</v>
      </c>
      <c r="P134" s="52">
        <v>110</v>
      </c>
      <c r="Q134" s="50">
        <f t="shared" si="17"/>
        <v>770</v>
      </c>
      <c r="R134" s="60" t="s">
        <v>163</v>
      </c>
    </row>
    <row r="135" spans="2:18" ht="15.75" thickBot="1" x14ac:dyDescent="0.3">
      <c r="B135" s="5"/>
      <c r="C135" s="5"/>
      <c r="D135" s="5"/>
      <c r="E135" s="5"/>
      <c r="F135" s="5"/>
      <c r="G135" s="5"/>
      <c r="H135" s="5"/>
      <c r="I135" s="5"/>
      <c r="J135" s="5"/>
      <c r="K135" s="5"/>
      <c r="L135" s="5"/>
      <c r="M135" s="5"/>
      <c r="N135" s="5"/>
      <c r="O135" s="5"/>
      <c r="P135" s="5"/>
      <c r="Q135" s="5"/>
      <c r="R135" s="5"/>
    </row>
    <row r="136" spans="2:18" ht="19.5" thickBot="1" x14ac:dyDescent="0.35">
      <c r="B136" s="118" t="str">
        <f>IF('Etap 2'!$C$15&lt;&gt;"",B15&amp;": "&amp;  'Etap 2'!$C$15,"")</f>
        <v>2.10: Zadanie P2.10</v>
      </c>
      <c r="C136" s="119"/>
      <c r="D136" s="119"/>
      <c r="E136" s="119"/>
      <c r="F136" s="119"/>
      <c r="G136" s="119"/>
      <c r="H136" s="119"/>
      <c r="I136" s="120"/>
      <c r="J136" s="5"/>
      <c r="K136" s="127" t="str">
        <f>IF('Etap 2'!$L$15&lt;&gt;"",K15&amp;": "&amp;  'Etap 2'!$L$15,"")</f>
        <v>2.20: Zadanie T2.10</v>
      </c>
      <c r="L136" s="128"/>
      <c r="M136" s="128"/>
      <c r="N136" s="128"/>
      <c r="O136" s="128"/>
      <c r="P136" s="128"/>
      <c r="Q136" s="128"/>
      <c r="R136" s="129"/>
    </row>
    <row r="137" spans="2:18" x14ac:dyDescent="0.25">
      <c r="B137" s="6" t="s">
        <v>1</v>
      </c>
      <c r="C137" s="7" t="s">
        <v>16</v>
      </c>
      <c r="D137" s="7" t="s">
        <v>3</v>
      </c>
      <c r="E137" s="7" t="s">
        <v>4</v>
      </c>
      <c r="F137" s="7" t="s">
        <v>15</v>
      </c>
      <c r="G137" s="7" t="s">
        <v>5</v>
      </c>
      <c r="H137" s="7" t="s">
        <v>6</v>
      </c>
      <c r="I137" s="8" t="s">
        <v>7</v>
      </c>
      <c r="J137" s="5"/>
      <c r="K137" s="34" t="s">
        <v>1</v>
      </c>
      <c r="L137" s="35" t="s">
        <v>16</v>
      </c>
      <c r="M137" s="35" t="s">
        <v>3</v>
      </c>
      <c r="N137" s="35" t="s">
        <v>4</v>
      </c>
      <c r="O137" s="35" t="s">
        <v>15</v>
      </c>
      <c r="P137" s="35" t="s">
        <v>5</v>
      </c>
      <c r="Q137" s="35" t="s">
        <v>6</v>
      </c>
      <c r="R137" s="36" t="s">
        <v>7</v>
      </c>
    </row>
    <row r="138" spans="2:18" x14ac:dyDescent="0.25">
      <c r="B138" s="41" t="str">
        <f>IF(C138&lt;&gt;"","2.10.1","")</f>
        <v>2.10.1</v>
      </c>
      <c r="C138" s="51" t="s">
        <v>17</v>
      </c>
      <c r="D138" s="51" t="s">
        <v>10</v>
      </c>
      <c r="E138" s="51" t="s">
        <v>19</v>
      </c>
      <c r="F138" s="51">
        <v>5</v>
      </c>
      <c r="G138" s="51">
        <v>50</v>
      </c>
      <c r="H138" s="45">
        <f t="shared" ref="H138:H147" si="18">IF(C138&lt;&gt;"",F138*G138,"")</f>
        <v>250</v>
      </c>
      <c r="I138" s="59" t="s">
        <v>154</v>
      </c>
      <c r="J138" s="5"/>
      <c r="K138" s="37" t="str">
        <f>IF(L138&lt;&gt;"",$K$15&amp;".1","")</f>
        <v>2.20.1</v>
      </c>
      <c r="L138" s="51" t="s">
        <v>17</v>
      </c>
      <c r="M138" s="51" t="s">
        <v>10</v>
      </c>
      <c r="N138" s="51" t="s">
        <v>19</v>
      </c>
      <c r="O138" s="51">
        <v>5</v>
      </c>
      <c r="P138" s="51">
        <v>50</v>
      </c>
      <c r="Q138" s="47">
        <f t="shared" ref="Q138:Q147" si="19">IF(L138&lt;&gt;"",O138*P138,"")</f>
        <v>250</v>
      </c>
      <c r="R138" s="59" t="s">
        <v>154</v>
      </c>
    </row>
    <row r="139" spans="2:18" x14ac:dyDescent="0.25">
      <c r="B139" s="41" t="str">
        <f>IF(C139&lt;&gt;"","2.10.2","")</f>
        <v>2.10.2</v>
      </c>
      <c r="C139" s="51" t="s">
        <v>20</v>
      </c>
      <c r="D139" s="51" t="s">
        <v>11</v>
      </c>
      <c r="E139" s="51" t="s">
        <v>13</v>
      </c>
      <c r="F139" s="51">
        <v>8</v>
      </c>
      <c r="G139" s="51">
        <v>20</v>
      </c>
      <c r="H139" s="45">
        <f t="shared" si="18"/>
        <v>160</v>
      </c>
      <c r="I139" s="59" t="s">
        <v>155</v>
      </c>
      <c r="J139" s="5"/>
      <c r="K139" s="37" t="str">
        <f>IF(L139&lt;&gt;"",$K$15&amp;".2","")</f>
        <v>2.20.2</v>
      </c>
      <c r="L139" s="51" t="s">
        <v>20</v>
      </c>
      <c r="M139" s="51" t="s">
        <v>11</v>
      </c>
      <c r="N139" s="51" t="s">
        <v>13</v>
      </c>
      <c r="O139" s="51">
        <v>8</v>
      </c>
      <c r="P139" s="51">
        <v>20</v>
      </c>
      <c r="Q139" s="47">
        <f t="shared" si="19"/>
        <v>160</v>
      </c>
      <c r="R139" s="59" t="s">
        <v>155</v>
      </c>
    </row>
    <row r="140" spans="2:18" x14ac:dyDescent="0.25">
      <c r="B140" s="41" t="str">
        <f>IF(C140&lt;&gt;"","2.10.3","")</f>
        <v>2.10.3</v>
      </c>
      <c r="C140" s="51" t="s">
        <v>21</v>
      </c>
      <c r="D140" s="51" t="s">
        <v>9</v>
      </c>
      <c r="E140" s="51" t="s">
        <v>19</v>
      </c>
      <c r="F140" s="51">
        <v>5</v>
      </c>
      <c r="G140" s="51">
        <v>8</v>
      </c>
      <c r="H140" s="45">
        <f t="shared" si="18"/>
        <v>40</v>
      </c>
      <c r="I140" s="59" t="s">
        <v>156</v>
      </c>
      <c r="J140" s="5"/>
      <c r="K140" s="37" t="str">
        <f>IF(L140&lt;&gt;"",$K$15&amp;".3","")</f>
        <v>2.20.3</v>
      </c>
      <c r="L140" s="51" t="s">
        <v>21</v>
      </c>
      <c r="M140" s="51" t="s">
        <v>9</v>
      </c>
      <c r="N140" s="51" t="s">
        <v>19</v>
      </c>
      <c r="O140" s="51">
        <v>5</v>
      </c>
      <c r="P140" s="51">
        <v>8</v>
      </c>
      <c r="Q140" s="47">
        <f t="shared" si="19"/>
        <v>40</v>
      </c>
      <c r="R140" s="59" t="s">
        <v>156</v>
      </c>
    </row>
    <row r="141" spans="2:18" x14ac:dyDescent="0.25">
      <c r="B141" s="41" t="str">
        <f>IF(C141&lt;&gt;"","2.10.4","")</f>
        <v>2.10.4</v>
      </c>
      <c r="C141" s="51" t="s">
        <v>22</v>
      </c>
      <c r="D141" s="51" t="s">
        <v>9</v>
      </c>
      <c r="E141" s="51" t="s">
        <v>19</v>
      </c>
      <c r="F141" s="51">
        <v>8</v>
      </c>
      <c r="G141" s="51">
        <v>12</v>
      </c>
      <c r="H141" s="45">
        <f t="shared" si="18"/>
        <v>96</v>
      </c>
      <c r="I141" s="59" t="s">
        <v>157</v>
      </c>
      <c r="J141" s="5"/>
      <c r="K141" s="37" t="str">
        <f>IF(L141&lt;&gt;"",$K$15&amp;".4","")</f>
        <v>2.20.4</v>
      </c>
      <c r="L141" s="51" t="s">
        <v>22</v>
      </c>
      <c r="M141" s="51" t="s">
        <v>9</v>
      </c>
      <c r="N141" s="51" t="s">
        <v>19</v>
      </c>
      <c r="O141" s="51">
        <v>8</v>
      </c>
      <c r="P141" s="51">
        <v>12</v>
      </c>
      <c r="Q141" s="47">
        <f t="shared" si="19"/>
        <v>96</v>
      </c>
      <c r="R141" s="59" t="s">
        <v>157</v>
      </c>
    </row>
    <row r="142" spans="2:18" x14ac:dyDescent="0.25">
      <c r="B142" s="41" t="str">
        <f>IF(C142&lt;&gt;"","2.10.5","")</f>
        <v>2.10.5</v>
      </c>
      <c r="C142" s="51" t="s">
        <v>23</v>
      </c>
      <c r="D142" s="51" t="s">
        <v>9</v>
      </c>
      <c r="E142" s="51" t="s">
        <v>19</v>
      </c>
      <c r="F142" s="51">
        <v>3</v>
      </c>
      <c r="G142" s="51">
        <v>16</v>
      </c>
      <c r="H142" s="45">
        <f t="shared" si="18"/>
        <v>48</v>
      </c>
      <c r="I142" s="59" t="s">
        <v>158</v>
      </c>
      <c r="J142" s="5"/>
      <c r="K142" s="37" t="str">
        <f>IF(L142&lt;&gt;"",$K$15&amp;".5","")</f>
        <v>2.20.5</v>
      </c>
      <c r="L142" s="51" t="s">
        <v>23</v>
      </c>
      <c r="M142" s="51" t="s">
        <v>9</v>
      </c>
      <c r="N142" s="51" t="s">
        <v>19</v>
      </c>
      <c r="O142" s="51">
        <v>3</v>
      </c>
      <c r="P142" s="51">
        <v>16</v>
      </c>
      <c r="Q142" s="47">
        <f t="shared" si="19"/>
        <v>48</v>
      </c>
      <c r="R142" s="59" t="s">
        <v>158</v>
      </c>
    </row>
    <row r="143" spans="2:18" x14ac:dyDescent="0.25">
      <c r="B143" s="41" t="str">
        <f>IF(C143&lt;&gt;"","2.10.6","")</f>
        <v>2.10.6</v>
      </c>
      <c r="C143" s="51" t="s">
        <v>24</v>
      </c>
      <c r="D143" s="51" t="s">
        <v>9</v>
      </c>
      <c r="E143" s="51" t="s">
        <v>19</v>
      </c>
      <c r="F143" s="51">
        <v>4</v>
      </c>
      <c r="G143" s="51">
        <v>8</v>
      </c>
      <c r="H143" s="45">
        <f t="shared" si="18"/>
        <v>32</v>
      </c>
      <c r="I143" s="59" t="s">
        <v>159</v>
      </c>
      <c r="J143" s="5"/>
      <c r="K143" s="37" t="str">
        <f>IF(L143&lt;&gt;"",$K$15&amp;".6","")</f>
        <v>2.20.6</v>
      </c>
      <c r="L143" s="51" t="s">
        <v>24</v>
      </c>
      <c r="M143" s="51" t="s">
        <v>9</v>
      </c>
      <c r="N143" s="51" t="s">
        <v>19</v>
      </c>
      <c r="O143" s="51">
        <v>4</v>
      </c>
      <c r="P143" s="51">
        <v>8</v>
      </c>
      <c r="Q143" s="47">
        <f t="shared" si="19"/>
        <v>32</v>
      </c>
      <c r="R143" s="59" t="s">
        <v>159</v>
      </c>
    </row>
    <row r="144" spans="2:18" x14ac:dyDescent="0.25">
      <c r="B144" s="41" t="str">
        <f>IF(C144&lt;&gt;"","2.10.7","")</f>
        <v>2.10.7</v>
      </c>
      <c r="C144" s="51" t="s">
        <v>26</v>
      </c>
      <c r="D144" s="51" t="s">
        <v>9</v>
      </c>
      <c r="E144" s="51" t="s">
        <v>19</v>
      </c>
      <c r="F144" s="51">
        <v>2</v>
      </c>
      <c r="G144" s="51">
        <v>55</v>
      </c>
      <c r="H144" s="45">
        <f t="shared" si="18"/>
        <v>110</v>
      </c>
      <c r="I144" s="59" t="s">
        <v>160</v>
      </c>
      <c r="J144" s="5"/>
      <c r="K144" s="37" t="str">
        <f>IF(L144&lt;&gt;"",$K$15&amp;".7","")</f>
        <v>2.20.7</v>
      </c>
      <c r="L144" s="51" t="s">
        <v>26</v>
      </c>
      <c r="M144" s="51" t="s">
        <v>9</v>
      </c>
      <c r="N144" s="51" t="s">
        <v>19</v>
      </c>
      <c r="O144" s="51">
        <v>2</v>
      </c>
      <c r="P144" s="51">
        <v>55</v>
      </c>
      <c r="Q144" s="47">
        <f t="shared" si="19"/>
        <v>110</v>
      </c>
      <c r="R144" s="59" t="s">
        <v>160</v>
      </c>
    </row>
    <row r="145" spans="2:18" x14ac:dyDescent="0.25">
      <c r="B145" s="41" t="str">
        <f>IF(C145&lt;&gt;"","2.10.8","")</f>
        <v>2.10.8</v>
      </c>
      <c r="C145" s="51" t="s">
        <v>25</v>
      </c>
      <c r="D145" s="51" t="s">
        <v>9</v>
      </c>
      <c r="E145" s="51" t="s">
        <v>19</v>
      </c>
      <c r="F145" s="51">
        <v>6</v>
      </c>
      <c r="G145" s="51">
        <v>80</v>
      </c>
      <c r="H145" s="45">
        <f t="shared" si="18"/>
        <v>480</v>
      </c>
      <c r="I145" s="59" t="s">
        <v>161</v>
      </c>
      <c r="J145" s="5"/>
      <c r="K145" s="37" t="str">
        <f>IF(L145&lt;&gt;"",$K$15&amp;".8","")</f>
        <v>2.20.8</v>
      </c>
      <c r="L145" s="51" t="s">
        <v>25</v>
      </c>
      <c r="M145" s="51" t="s">
        <v>9</v>
      </c>
      <c r="N145" s="51" t="s">
        <v>19</v>
      </c>
      <c r="O145" s="51">
        <v>6</v>
      </c>
      <c r="P145" s="51">
        <v>80</v>
      </c>
      <c r="Q145" s="47">
        <f t="shared" si="19"/>
        <v>480</v>
      </c>
      <c r="R145" s="59" t="s">
        <v>161</v>
      </c>
    </row>
    <row r="146" spans="2:18" x14ac:dyDescent="0.25">
      <c r="B146" s="41" t="str">
        <f>IF(C146&lt;&gt;"","2.10.9","")</f>
        <v>2.10.9</v>
      </c>
      <c r="C146" s="51" t="s">
        <v>27</v>
      </c>
      <c r="D146" s="51" t="s">
        <v>9</v>
      </c>
      <c r="E146" s="51" t="s">
        <v>19</v>
      </c>
      <c r="F146" s="51">
        <v>9</v>
      </c>
      <c r="G146" s="51">
        <v>90</v>
      </c>
      <c r="H146" s="45">
        <f t="shared" si="18"/>
        <v>810</v>
      </c>
      <c r="I146" s="59" t="s">
        <v>162</v>
      </c>
      <c r="J146" s="5"/>
      <c r="K146" s="37" t="str">
        <f>IF(L146&lt;&gt;"",$K$15&amp;".9","")</f>
        <v>2.20.9</v>
      </c>
      <c r="L146" s="51" t="s">
        <v>27</v>
      </c>
      <c r="M146" s="51" t="s">
        <v>9</v>
      </c>
      <c r="N146" s="51" t="s">
        <v>19</v>
      </c>
      <c r="O146" s="51">
        <v>9</v>
      </c>
      <c r="P146" s="51">
        <v>90</v>
      </c>
      <c r="Q146" s="47">
        <f t="shared" si="19"/>
        <v>810</v>
      </c>
      <c r="R146" s="59" t="s">
        <v>162</v>
      </c>
    </row>
    <row r="147" spans="2:18" ht="15.75" thickBot="1" x14ac:dyDescent="0.3">
      <c r="B147" s="42" t="str">
        <f>IF(C147&lt;&gt;"","2.10.10","")</f>
        <v>2.10.10</v>
      </c>
      <c r="C147" s="52" t="s">
        <v>28</v>
      </c>
      <c r="D147" s="52" t="s">
        <v>9</v>
      </c>
      <c r="E147" s="52" t="s">
        <v>19</v>
      </c>
      <c r="F147" s="52">
        <v>7</v>
      </c>
      <c r="G147" s="52">
        <v>110</v>
      </c>
      <c r="H147" s="48">
        <f t="shared" si="18"/>
        <v>770</v>
      </c>
      <c r="I147" s="60" t="s">
        <v>163</v>
      </c>
      <c r="J147" s="5"/>
      <c r="K147" s="38" t="str">
        <f>IF(L147&lt;&gt;"",$K$15&amp;".10","")</f>
        <v>2.20.10</v>
      </c>
      <c r="L147" s="52" t="s">
        <v>28</v>
      </c>
      <c r="M147" s="52" t="s">
        <v>9</v>
      </c>
      <c r="N147" s="52" t="s">
        <v>19</v>
      </c>
      <c r="O147" s="52">
        <v>7</v>
      </c>
      <c r="P147" s="52">
        <v>110</v>
      </c>
      <c r="Q147" s="50">
        <f t="shared" si="19"/>
        <v>770</v>
      </c>
      <c r="R147" s="60" t="s">
        <v>163</v>
      </c>
    </row>
  </sheetData>
  <mergeCells count="61">
    <mergeCell ref="B2:R2"/>
    <mergeCell ref="B4:I4"/>
    <mergeCell ref="K4:R4"/>
    <mergeCell ref="C5:F5"/>
    <mergeCell ref="L5:O5"/>
    <mergeCell ref="C6:F6"/>
    <mergeCell ref="L6:O6"/>
    <mergeCell ref="C7:F7"/>
    <mergeCell ref="L7:O7"/>
    <mergeCell ref="C8:F8"/>
    <mergeCell ref="L8:O8"/>
    <mergeCell ref="C9:F9"/>
    <mergeCell ref="L9:O9"/>
    <mergeCell ref="C10:F10"/>
    <mergeCell ref="L10:O10"/>
    <mergeCell ref="C11:F11"/>
    <mergeCell ref="L11:O11"/>
    <mergeCell ref="C15:F15"/>
    <mergeCell ref="L15:O15"/>
    <mergeCell ref="B17:I17"/>
    <mergeCell ref="K17:R17"/>
    <mergeCell ref="C12:F12"/>
    <mergeCell ref="L12:O12"/>
    <mergeCell ref="C13:F13"/>
    <mergeCell ref="L13:O13"/>
    <mergeCell ref="C14:F14"/>
    <mergeCell ref="L14:O14"/>
    <mergeCell ref="B32:I32"/>
    <mergeCell ref="K32:R32"/>
    <mergeCell ref="B45:I45"/>
    <mergeCell ref="K45:R45"/>
    <mergeCell ref="B19:I19"/>
    <mergeCell ref="K19:R19"/>
    <mergeCell ref="B58:I58"/>
    <mergeCell ref="K58:R58"/>
    <mergeCell ref="B71:I71"/>
    <mergeCell ref="K71:R71"/>
    <mergeCell ref="B84:I84"/>
    <mergeCell ref="K84:R84"/>
    <mergeCell ref="B136:I136"/>
    <mergeCell ref="K136:R136"/>
    <mergeCell ref="B97:I97"/>
    <mergeCell ref="K97:R97"/>
    <mergeCell ref="B110:I110"/>
    <mergeCell ref="K110:R110"/>
    <mergeCell ref="B123:I123"/>
    <mergeCell ref="K123:R123"/>
    <mergeCell ref="T4:V4"/>
    <mergeCell ref="T32:V32"/>
    <mergeCell ref="T34:T36"/>
    <mergeCell ref="U34:U36"/>
    <mergeCell ref="V34:V36"/>
    <mergeCell ref="T43:T45"/>
    <mergeCell ref="U43:U45"/>
    <mergeCell ref="V43:V45"/>
    <mergeCell ref="T37:T39"/>
    <mergeCell ref="U37:U39"/>
    <mergeCell ref="V37:V39"/>
    <mergeCell ref="T40:T42"/>
    <mergeCell ref="U40:U42"/>
    <mergeCell ref="V40:V42"/>
  </mergeCells>
  <phoneticPr fontId="4" type="noConversion"/>
  <conditionalFormatting sqref="B19:I30">
    <cfRule type="expression" dxfId="31" priority="21">
      <formula>$B$19=""</formula>
    </cfRule>
  </conditionalFormatting>
  <conditionalFormatting sqref="B32:I43">
    <cfRule type="expression" dxfId="30" priority="20">
      <formula>$B$32=""</formula>
    </cfRule>
  </conditionalFormatting>
  <conditionalFormatting sqref="B45:I56">
    <cfRule type="expression" dxfId="29" priority="18">
      <formula>$C$8=""</formula>
    </cfRule>
    <cfRule type="expression" dxfId="28" priority="19">
      <formula>B45=""</formula>
    </cfRule>
  </conditionalFormatting>
  <conditionalFormatting sqref="B58:I69">
    <cfRule type="expression" dxfId="27" priority="17">
      <formula>$C$9=""</formula>
    </cfRule>
  </conditionalFormatting>
  <conditionalFormatting sqref="B71:I82">
    <cfRule type="expression" dxfId="26" priority="16">
      <formula>$C$10=""</formula>
    </cfRule>
  </conditionalFormatting>
  <conditionalFormatting sqref="B84:I95">
    <cfRule type="expression" dxfId="25" priority="15">
      <formula>$C$11=""</formula>
    </cfRule>
  </conditionalFormatting>
  <conditionalFormatting sqref="B97:I108">
    <cfRule type="expression" dxfId="24" priority="14">
      <formula>$C$12=""</formula>
    </cfRule>
  </conditionalFormatting>
  <conditionalFormatting sqref="B110:I121">
    <cfRule type="expression" dxfId="23" priority="13">
      <formula>$C$13=""</formula>
    </cfRule>
  </conditionalFormatting>
  <conditionalFormatting sqref="B123:I134">
    <cfRule type="expression" dxfId="22" priority="12">
      <formula>$C$14=""</formula>
    </cfRule>
  </conditionalFormatting>
  <conditionalFormatting sqref="B136:I147">
    <cfRule type="expression" dxfId="21" priority="11">
      <formula>$C$15=""</formula>
    </cfRule>
  </conditionalFormatting>
  <conditionalFormatting sqref="K19:R30">
    <cfRule type="expression" dxfId="20" priority="10">
      <formula>$L$6=""</formula>
    </cfRule>
  </conditionalFormatting>
  <conditionalFormatting sqref="K32:R43">
    <cfRule type="expression" dxfId="19" priority="9">
      <formula>$L$7=""</formula>
    </cfRule>
  </conditionalFormatting>
  <conditionalFormatting sqref="K45:R56">
    <cfRule type="expression" dxfId="18" priority="8">
      <formula>$L$8=""</formula>
    </cfRule>
  </conditionalFormatting>
  <conditionalFormatting sqref="K58:R69">
    <cfRule type="expression" dxfId="17" priority="7">
      <formula>$L$9=""</formula>
    </cfRule>
  </conditionalFormatting>
  <conditionalFormatting sqref="K71:R82">
    <cfRule type="expression" dxfId="16" priority="6">
      <formula>$L$10=""</formula>
    </cfRule>
  </conditionalFormatting>
  <conditionalFormatting sqref="K84:R95">
    <cfRule type="expression" dxfId="15" priority="5">
      <formula>$L$11=""</formula>
    </cfRule>
  </conditionalFormatting>
  <conditionalFormatting sqref="K97:R108">
    <cfRule type="expression" dxfId="14" priority="4">
      <formula>$L$12=""</formula>
    </cfRule>
  </conditionalFormatting>
  <conditionalFormatting sqref="K110:R121">
    <cfRule type="expression" dxfId="13" priority="3">
      <formula>$L$13=""</formula>
    </cfRule>
  </conditionalFormatting>
  <conditionalFormatting sqref="K123:R134">
    <cfRule type="expression" dxfId="12" priority="2">
      <formula>$L$14=""</formula>
    </cfRule>
  </conditionalFormatting>
  <conditionalFormatting sqref="K136:R147">
    <cfRule type="expression" dxfId="11" priority="1">
      <formula>$L$15=""</formula>
    </cfRule>
  </conditionalFormatting>
  <dataValidations count="1">
    <dataValidation type="decimal" operator="greaterThanOrEqual" allowBlank="1" showInputMessage="1" showErrorMessage="1" errorTitle="Błąd" error="Podaj liczbę" sqref="F21:G30 F138:G147 F34:G43 F47:G56 F60:G69 F73:G82 F86:G95 F99:G108 F112:G121 F125:G134 O21:P30 O125:P134 O34:P43 O47:P56 O60:P69 O73:P82 O86:P95 O99:P108 O112:P121 O138:P147" xr:uid="{92840C7A-9DF6-4C82-95A6-B26FBE26F5B7}">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Uwaga" error="Wybierz z listy" promptTitle="Uwaga" prompt="Wybierz z listy" xr:uid="{8C209DA7-002C-4FA5-9D93-E8138D4AFAF5}">
          <x14:formula1>
            <xm:f>Robocze!$D$3:$D$5</xm:f>
          </x14:formula1>
          <xm:sqref>U34 U37 U40 U43</xm:sqref>
        </x14:dataValidation>
        <x14:dataValidation type="list" allowBlank="1" showInputMessage="1" showErrorMessage="1" errorTitle="Błąd" error="Nieznana kategoria wydatku" promptTitle="Wybierz z listy:" prompt="wynagrodzenia_x000a_usługi obce_x000a_materiały" xr:uid="{7CA437D8-C48D-46B6-8E88-99164AF767E3}">
          <x14:formula1>
            <xm:f>Robocze!$B$3:$B$6</xm:f>
          </x14:formula1>
          <xm:sqref>D138:D147 D21:D30 D34:D43 D47:D56 D60:D69 D73:D82 D86:D95 D99:D108 D112:D121 D125:D134 M21:M30 M125:M134 M34:M43 M47:M56 M60:M69 M73:M82 M86:M95 M99:M108 M112:M121 M138:M147</xm:sqref>
        </x14:dataValidation>
        <x14:dataValidation type="list" allowBlank="1" showInputMessage="1" showErrorMessage="1" errorTitle="Błąd" error="Nieznana kategoria wydatku" promptTitle="Wybierz z listy:" prompt="n/d_x000a_godzina_x000a_szt." xr:uid="{FF9AF078-DB93-4F64-99EC-67747DF1C2A6}">
          <x14:formula1>
            <xm:f>Robocze!$C$3:$C$9</xm:f>
          </x14:formula1>
          <xm:sqref>E138:E147 E21:E30 E34:E43 E47:E56 E60:E69 E73:E82 E86:E95 E99:E108 E112:E121 E125:E134 N21:N30 N125:N134 N34:N43 N47:N56 N60:N69 N73:N82 N86:N95 N99:N108 N112:N121 N138:N147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D366-D90F-402E-89AD-86A630D2BC6D}">
  <dimension ref="B1:M147"/>
  <sheetViews>
    <sheetView zoomScale="80" zoomScaleNormal="80" workbookViewId="0">
      <selection activeCell="E24" sqref="E24"/>
    </sheetView>
  </sheetViews>
  <sheetFormatPr defaultColWidth="30.85546875" defaultRowHeight="15" x14ac:dyDescent="0.25"/>
  <cols>
    <col min="1" max="1" width="5.5703125" style="3" customWidth="1"/>
    <col min="2" max="2" width="12.5703125" style="3" customWidth="1"/>
    <col min="3" max="3" width="36.140625" style="3" customWidth="1"/>
    <col min="4" max="4" width="17.7109375" style="3" bestFit="1" customWidth="1"/>
    <col min="5" max="5" width="17.42578125" style="3" bestFit="1" customWidth="1"/>
    <col min="6" max="6" width="17.85546875" style="3" bestFit="1" customWidth="1"/>
    <col min="7" max="7" width="15.85546875" style="3" bestFit="1" customWidth="1"/>
    <col min="8" max="8" width="17.7109375" style="3" bestFit="1" customWidth="1"/>
    <col min="9" max="9" width="19.42578125" style="3" bestFit="1" customWidth="1"/>
    <col min="10" max="10" width="30.85546875" style="3"/>
    <col min="11" max="11" width="52" style="3" customWidth="1"/>
    <col min="12" max="12" width="44.28515625" style="3" customWidth="1"/>
    <col min="13" max="13" width="47.7109375" style="3" customWidth="1"/>
    <col min="14" max="16384" width="30.85546875" style="3"/>
  </cols>
  <sheetData>
    <row r="1" spans="2:13" ht="15.75" thickBot="1" x14ac:dyDescent="0.3"/>
    <row r="2" spans="2:13" ht="27" thickBot="1" x14ac:dyDescent="0.45">
      <c r="B2" s="167" t="s">
        <v>35</v>
      </c>
      <c r="C2" s="168"/>
      <c r="D2" s="168"/>
      <c r="E2" s="168"/>
      <c r="F2" s="168"/>
      <c r="G2" s="168"/>
      <c r="H2" s="168"/>
      <c r="I2" s="168"/>
    </row>
    <row r="3" spans="2:13" ht="15.75" thickBot="1" x14ac:dyDescent="0.3"/>
    <row r="4" spans="2:13" ht="18.75" x14ac:dyDescent="0.3">
      <c r="B4" s="115" t="s">
        <v>0</v>
      </c>
      <c r="C4" s="116"/>
      <c r="D4" s="116"/>
      <c r="E4" s="116"/>
      <c r="F4" s="116"/>
      <c r="G4" s="116"/>
      <c r="H4" s="116"/>
      <c r="I4" s="117"/>
      <c r="K4" s="112" t="s">
        <v>184</v>
      </c>
      <c r="L4" s="113"/>
      <c r="M4" s="114"/>
    </row>
    <row r="5" spans="2:13" x14ac:dyDescent="0.25">
      <c r="B5" s="11" t="s">
        <v>33</v>
      </c>
      <c r="C5" s="150" t="s">
        <v>2</v>
      </c>
      <c r="D5" s="150"/>
      <c r="E5" s="150"/>
      <c r="F5" s="150"/>
      <c r="G5" s="53" t="s">
        <v>18</v>
      </c>
      <c r="H5" s="53" t="s">
        <v>44</v>
      </c>
      <c r="I5" s="12" t="s">
        <v>45</v>
      </c>
      <c r="K5" s="55" t="s">
        <v>177</v>
      </c>
      <c r="L5" s="54" t="s">
        <v>174</v>
      </c>
      <c r="M5" s="56" t="s">
        <v>165</v>
      </c>
    </row>
    <row r="6" spans="2:13" x14ac:dyDescent="0.25">
      <c r="B6" s="9" t="str">
        <f>IF(C6&lt;&gt;"","3."&amp;1,"")</f>
        <v>3.1</v>
      </c>
      <c r="C6" s="134" t="s">
        <v>231</v>
      </c>
      <c r="D6" s="134"/>
      <c r="E6" s="134"/>
      <c r="F6" s="134"/>
      <c r="G6" s="45">
        <f>IF(C6&lt;&gt;"",SUM('Etap 3'!H21:H30),"")</f>
        <v>2796</v>
      </c>
      <c r="H6" s="91">
        <v>44075</v>
      </c>
      <c r="I6" s="91">
        <v>44075</v>
      </c>
      <c r="K6" s="57"/>
      <c r="L6" s="87"/>
      <c r="M6" s="59"/>
    </row>
    <row r="7" spans="2:13" x14ac:dyDescent="0.25">
      <c r="B7" s="9" t="str">
        <f>IF(C7&lt;&gt;"","3."&amp;2,"")</f>
        <v>3.2</v>
      </c>
      <c r="C7" s="134" t="s">
        <v>232</v>
      </c>
      <c r="D7" s="134"/>
      <c r="E7" s="134"/>
      <c r="F7" s="134"/>
      <c r="G7" s="45">
        <f>IF(C7&lt;&gt;"",SUM('Etap 3'!H34:H43),"")</f>
        <v>2796</v>
      </c>
      <c r="H7" s="91">
        <v>44076</v>
      </c>
      <c r="I7" s="91">
        <v>44076</v>
      </c>
      <c r="K7" s="57"/>
      <c r="L7" s="87"/>
      <c r="M7" s="59"/>
    </row>
    <row r="8" spans="2:13" x14ac:dyDescent="0.25">
      <c r="B8" s="9" t="str">
        <f>IF(C8&lt;&gt;"","3."&amp;3,"")</f>
        <v>3.3</v>
      </c>
      <c r="C8" s="138" t="s">
        <v>233</v>
      </c>
      <c r="D8" s="139"/>
      <c r="E8" s="139"/>
      <c r="F8" s="140"/>
      <c r="G8" s="45">
        <f>IF(C8&lt;&gt;"",SUM('Etap 3'!H47:H56),"")</f>
        <v>2796</v>
      </c>
      <c r="H8" s="91">
        <v>44077</v>
      </c>
      <c r="I8" s="91">
        <v>44077</v>
      </c>
      <c r="K8" s="57"/>
      <c r="L8" s="87"/>
      <c r="M8" s="59"/>
    </row>
    <row r="9" spans="2:13" x14ac:dyDescent="0.25">
      <c r="B9" s="9" t="str">
        <f>IF(C9&lt;&gt;"","3."&amp;4,"")</f>
        <v>3.4</v>
      </c>
      <c r="C9" s="138" t="s">
        <v>234</v>
      </c>
      <c r="D9" s="139"/>
      <c r="E9" s="139"/>
      <c r="F9" s="140"/>
      <c r="G9" s="45">
        <f>IF(C9&lt;&gt;"",SUM('Etap 3'!H60:H69),"")</f>
        <v>2796</v>
      </c>
      <c r="H9" s="91">
        <v>44078</v>
      </c>
      <c r="I9" s="91">
        <v>44078</v>
      </c>
      <c r="K9" s="57"/>
      <c r="L9" s="87"/>
      <c r="M9" s="59"/>
    </row>
    <row r="10" spans="2:13" x14ac:dyDescent="0.25">
      <c r="B10" s="9" t="str">
        <f>IF(C10&lt;&gt;"","3."&amp;5,"")</f>
        <v>3.5</v>
      </c>
      <c r="C10" s="138" t="s">
        <v>235</v>
      </c>
      <c r="D10" s="139"/>
      <c r="E10" s="139"/>
      <c r="F10" s="140"/>
      <c r="G10" s="45">
        <f>IF(C10&lt;&gt;"",SUM('Etap 3'!H73:H82),"")</f>
        <v>2796</v>
      </c>
      <c r="H10" s="91">
        <v>44079</v>
      </c>
      <c r="I10" s="91">
        <v>44079</v>
      </c>
      <c r="K10" s="57"/>
      <c r="L10" s="87"/>
      <c r="M10" s="59"/>
    </row>
    <row r="11" spans="2:13" x14ac:dyDescent="0.25">
      <c r="B11" s="9" t="str">
        <f>IF(C11&lt;&gt;"","3."&amp;6,"")</f>
        <v>3.6</v>
      </c>
      <c r="C11" s="138" t="s">
        <v>236</v>
      </c>
      <c r="D11" s="139"/>
      <c r="E11" s="139"/>
      <c r="F11" s="140"/>
      <c r="G11" s="45">
        <f>IF(C11&lt;&gt;"",SUM('Etap 3'!H86:H95),"")</f>
        <v>2796</v>
      </c>
      <c r="H11" s="91">
        <v>44080</v>
      </c>
      <c r="I11" s="91">
        <v>44080</v>
      </c>
      <c r="K11" s="57"/>
      <c r="L11" s="87"/>
      <c r="M11" s="59"/>
    </row>
    <row r="12" spans="2:13" x14ac:dyDescent="0.25">
      <c r="B12" s="9" t="str">
        <f>IF(C12&lt;&gt;"","3."&amp;7,"")</f>
        <v>3.7</v>
      </c>
      <c r="C12" s="138" t="s">
        <v>237</v>
      </c>
      <c r="D12" s="139"/>
      <c r="E12" s="139"/>
      <c r="F12" s="140"/>
      <c r="G12" s="45">
        <f>IF(C12&lt;&gt;"",SUM('Etap 3'!H99:H108),"")</f>
        <v>2796</v>
      </c>
      <c r="H12" s="91">
        <v>44081</v>
      </c>
      <c r="I12" s="91">
        <v>44081</v>
      </c>
      <c r="K12" s="57"/>
      <c r="L12" s="87"/>
      <c r="M12" s="59"/>
    </row>
    <row r="13" spans="2:13" x14ac:dyDescent="0.25">
      <c r="B13" s="9" t="str">
        <f>IF(C13&lt;&gt;"","3."&amp;8,"")</f>
        <v>3.8</v>
      </c>
      <c r="C13" s="138" t="s">
        <v>238</v>
      </c>
      <c r="D13" s="139"/>
      <c r="E13" s="139"/>
      <c r="F13" s="140"/>
      <c r="G13" s="45">
        <f>IF(C13&lt;&gt;"",SUM('Etap 3'!H112:H121),"")</f>
        <v>2796</v>
      </c>
      <c r="H13" s="91">
        <v>44082</v>
      </c>
      <c r="I13" s="91">
        <v>44082</v>
      </c>
      <c r="K13" s="57"/>
      <c r="L13" s="87"/>
      <c r="M13" s="59"/>
    </row>
    <row r="14" spans="2:13" x14ac:dyDescent="0.25">
      <c r="B14" s="9" t="str">
        <f>IF(C14&lt;&gt;"","3."&amp;9,"")</f>
        <v>3.9</v>
      </c>
      <c r="C14" s="138" t="s">
        <v>239</v>
      </c>
      <c r="D14" s="139"/>
      <c r="E14" s="139"/>
      <c r="F14" s="140"/>
      <c r="G14" s="45">
        <f>IF(C14&lt;&gt;"",SUM('Etap 3'!H125:H134),"")</f>
        <v>2796</v>
      </c>
      <c r="H14" s="91">
        <v>44083</v>
      </c>
      <c r="I14" s="91">
        <v>44083</v>
      </c>
      <c r="K14" s="57"/>
      <c r="L14" s="87"/>
      <c r="M14" s="59"/>
    </row>
    <row r="15" spans="2:13" ht="15.75" thickBot="1" x14ac:dyDescent="0.3">
      <c r="B15" s="9" t="str">
        <f>IF(C15&lt;&gt;"","3."&amp;10,"")</f>
        <v>3.10</v>
      </c>
      <c r="C15" s="138" t="s">
        <v>240</v>
      </c>
      <c r="D15" s="139"/>
      <c r="E15" s="139"/>
      <c r="F15" s="140"/>
      <c r="G15" s="48">
        <f>IF(C15&lt;&gt;"",SUM('Etap 3'!H138:H147),"")</f>
        <v>2796</v>
      </c>
      <c r="H15" s="92">
        <v>44084</v>
      </c>
      <c r="I15" s="92">
        <v>44114</v>
      </c>
      <c r="K15" s="57"/>
      <c r="L15" s="87"/>
      <c r="M15" s="59"/>
    </row>
    <row r="16" spans="2:13" ht="15.75" thickBot="1" x14ac:dyDescent="0.3">
      <c r="K16" s="58"/>
      <c r="L16" s="89"/>
      <c r="M16" s="60"/>
    </row>
    <row r="17" spans="2:13" ht="27" thickBot="1" x14ac:dyDescent="0.3">
      <c r="B17" s="156" t="s">
        <v>29</v>
      </c>
      <c r="C17" s="157"/>
      <c r="D17" s="157"/>
      <c r="E17" s="157"/>
      <c r="F17" s="157"/>
      <c r="G17" s="157"/>
      <c r="H17" s="157"/>
      <c r="I17" s="158"/>
    </row>
    <row r="18" spans="2:13" ht="15.75" thickBot="1" x14ac:dyDescent="0.3"/>
    <row r="19" spans="2:13" ht="19.5" thickBot="1" x14ac:dyDescent="0.35">
      <c r="B19" s="118" t="str">
        <f>IF('Etap 3'!$C$6&lt;&gt;"",B6&amp;": "&amp;  'Etap 3'!$C$6,"")</f>
        <v>3.1: Zadanie P3.1</v>
      </c>
      <c r="C19" s="119"/>
      <c r="D19" s="119"/>
      <c r="E19" s="119"/>
      <c r="F19" s="119"/>
      <c r="G19" s="119"/>
      <c r="H19" s="119"/>
      <c r="I19" s="120"/>
      <c r="K19" s="95" t="s">
        <v>178</v>
      </c>
      <c r="L19" s="96" t="s">
        <v>174</v>
      </c>
      <c r="M19" s="97" t="s">
        <v>165</v>
      </c>
    </row>
    <row r="20" spans="2:13" x14ac:dyDescent="0.25">
      <c r="B20" s="6" t="s">
        <v>1</v>
      </c>
      <c r="C20" s="7" t="s">
        <v>16</v>
      </c>
      <c r="D20" s="7" t="s">
        <v>3</v>
      </c>
      <c r="E20" s="7" t="s">
        <v>4</v>
      </c>
      <c r="F20" s="7" t="s">
        <v>15</v>
      </c>
      <c r="G20" s="7" t="s">
        <v>5</v>
      </c>
      <c r="H20" s="7" t="s">
        <v>6</v>
      </c>
      <c r="I20" s="8" t="s">
        <v>7</v>
      </c>
      <c r="K20" s="57"/>
      <c r="L20" s="87"/>
      <c r="M20" s="59"/>
    </row>
    <row r="21" spans="2:13" ht="15" customHeight="1" x14ac:dyDescent="0.25">
      <c r="B21" s="41" t="str">
        <f>IF(C21&lt;&gt;"","3.1.1","")</f>
        <v>3.1.1</v>
      </c>
      <c r="C21" s="51" t="s">
        <v>17</v>
      </c>
      <c r="D21" s="51" t="s">
        <v>10</v>
      </c>
      <c r="E21" s="51" t="s">
        <v>19</v>
      </c>
      <c r="F21" s="51">
        <v>5</v>
      </c>
      <c r="G21" s="51">
        <v>50</v>
      </c>
      <c r="H21" s="45">
        <f t="shared" ref="H21:H30" si="0">IF(C21&lt;&gt;"",F21*G21,"")</f>
        <v>250</v>
      </c>
      <c r="I21" s="59" t="s">
        <v>154</v>
      </c>
      <c r="K21" s="57"/>
      <c r="L21" s="87"/>
      <c r="M21" s="59"/>
    </row>
    <row r="22" spans="2:13" x14ac:dyDescent="0.25">
      <c r="B22" s="41" t="str">
        <f>IF(C22&lt;&gt;"","3.1.2","")</f>
        <v>3.1.2</v>
      </c>
      <c r="C22" s="51" t="s">
        <v>20</v>
      </c>
      <c r="D22" s="51" t="s">
        <v>11</v>
      </c>
      <c r="E22" s="51" t="s">
        <v>153</v>
      </c>
      <c r="F22" s="51">
        <v>8</v>
      </c>
      <c r="G22" s="51">
        <v>20</v>
      </c>
      <c r="H22" s="45">
        <f t="shared" si="0"/>
        <v>160</v>
      </c>
      <c r="I22" s="59" t="s">
        <v>155</v>
      </c>
      <c r="K22" s="57"/>
      <c r="L22" s="87"/>
      <c r="M22" s="59"/>
    </row>
    <row r="23" spans="2:13" x14ac:dyDescent="0.25">
      <c r="B23" s="41" t="str">
        <f>IF(C23&lt;&gt;"","3.1.3","")</f>
        <v>3.1.3</v>
      </c>
      <c r="C23" s="51" t="s">
        <v>21</v>
      </c>
      <c r="D23" s="51" t="s">
        <v>9</v>
      </c>
      <c r="E23" s="51" t="s">
        <v>19</v>
      </c>
      <c r="F23" s="51">
        <v>5</v>
      </c>
      <c r="G23" s="51">
        <v>8</v>
      </c>
      <c r="H23" s="45">
        <f t="shared" si="0"/>
        <v>40</v>
      </c>
      <c r="I23" s="59" t="s">
        <v>156</v>
      </c>
      <c r="K23" s="57"/>
      <c r="L23" s="87"/>
      <c r="M23" s="59"/>
    </row>
    <row r="24" spans="2:13" x14ac:dyDescent="0.25">
      <c r="B24" s="41" t="str">
        <f>IF(C24&lt;&gt;"","3.1.4","")</f>
        <v>3.1.4</v>
      </c>
      <c r="C24" s="51" t="s">
        <v>22</v>
      </c>
      <c r="D24" s="51" t="s">
        <v>9</v>
      </c>
      <c r="E24" s="51" t="s">
        <v>19</v>
      </c>
      <c r="F24" s="51">
        <v>8</v>
      </c>
      <c r="G24" s="51">
        <v>12</v>
      </c>
      <c r="H24" s="45">
        <f t="shared" si="0"/>
        <v>96</v>
      </c>
      <c r="I24" s="59" t="s">
        <v>157</v>
      </c>
      <c r="K24" s="57"/>
      <c r="L24" s="87"/>
      <c r="M24" s="59"/>
    </row>
    <row r="25" spans="2:13" x14ac:dyDescent="0.25">
      <c r="B25" s="41" t="str">
        <f>IF(C25&lt;&gt;"","3.1.5","")</f>
        <v>3.1.5</v>
      </c>
      <c r="C25" s="51" t="s">
        <v>23</v>
      </c>
      <c r="D25" s="51" t="s">
        <v>9</v>
      </c>
      <c r="E25" s="51" t="s">
        <v>19</v>
      </c>
      <c r="F25" s="51">
        <v>3</v>
      </c>
      <c r="G25" s="51">
        <v>16</v>
      </c>
      <c r="H25" s="45">
        <f t="shared" si="0"/>
        <v>48</v>
      </c>
      <c r="I25" s="59" t="s">
        <v>158</v>
      </c>
      <c r="K25" s="57"/>
      <c r="L25" s="87"/>
      <c r="M25" s="59"/>
    </row>
    <row r="26" spans="2:13" x14ac:dyDescent="0.25">
      <c r="B26" s="41" t="str">
        <f>IF(C26&lt;&gt;"","3.1.6","")</f>
        <v>3.1.6</v>
      </c>
      <c r="C26" s="51" t="s">
        <v>24</v>
      </c>
      <c r="D26" s="51" t="s">
        <v>9</v>
      </c>
      <c r="E26" s="51" t="s">
        <v>19</v>
      </c>
      <c r="F26" s="51">
        <v>4</v>
      </c>
      <c r="G26" s="51">
        <v>8</v>
      </c>
      <c r="H26" s="45">
        <f t="shared" si="0"/>
        <v>32</v>
      </c>
      <c r="I26" s="59" t="s">
        <v>159</v>
      </c>
      <c r="K26" s="57"/>
      <c r="L26" s="87"/>
      <c r="M26" s="59"/>
    </row>
    <row r="27" spans="2:13" ht="15.75" thickBot="1" x14ac:dyDescent="0.3">
      <c r="B27" s="41" t="str">
        <f>IF(C27&lt;&gt;"","3.1.7","")</f>
        <v>3.1.7</v>
      </c>
      <c r="C27" s="51" t="s">
        <v>26</v>
      </c>
      <c r="D27" s="51" t="s">
        <v>9</v>
      </c>
      <c r="E27" s="51" t="s">
        <v>19</v>
      </c>
      <c r="F27" s="51">
        <v>2</v>
      </c>
      <c r="G27" s="51">
        <v>55</v>
      </c>
      <c r="H27" s="45">
        <f t="shared" si="0"/>
        <v>110</v>
      </c>
      <c r="I27" s="59" t="s">
        <v>160</v>
      </c>
      <c r="K27" s="58"/>
      <c r="L27" s="89"/>
      <c r="M27" s="60"/>
    </row>
    <row r="28" spans="2:13" x14ac:dyDescent="0.25">
      <c r="B28" s="41" t="str">
        <f>IF(C28&lt;&gt;"","3.1.8","")</f>
        <v>3.1.8</v>
      </c>
      <c r="C28" s="51" t="s">
        <v>25</v>
      </c>
      <c r="D28" s="51" t="s">
        <v>9</v>
      </c>
      <c r="E28" s="51" t="s">
        <v>19</v>
      </c>
      <c r="F28" s="51">
        <v>6</v>
      </c>
      <c r="G28" s="51">
        <v>80</v>
      </c>
      <c r="H28" s="45">
        <f t="shared" si="0"/>
        <v>480</v>
      </c>
      <c r="I28" s="59" t="s">
        <v>161</v>
      </c>
    </row>
    <row r="29" spans="2:13" x14ac:dyDescent="0.25">
      <c r="B29" s="41" t="str">
        <f>IF(C29&lt;&gt;"","3.1.9","")</f>
        <v>3.1.9</v>
      </c>
      <c r="C29" s="51" t="s">
        <v>27</v>
      </c>
      <c r="D29" s="51" t="s">
        <v>9</v>
      </c>
      <c r="E29" s="51" t="s">
        <v>19</v>
      </c>
      <c r="F29" s="51">
        <v>9</v>
      </c>
      <c r="G29" s="51">
        <v>90</v>
      </c>
      <c r="H29" s="45">
        <f t="shared" si="0"/>
        <v>810</v>
      </c>
      <c r="I29" s="59" t="s">
        <v>162</v>
      </c>
    </row>
    <row r="30" spans="2:13" ht="15.75" thickBot="1" x14ac:dyDescent="0.3">
      <c r="B30" s="42" t="str">
        <f>IF(C30&lt;&gt;"","3.1.10","")</f>
        <v>3.1.10</v>
      </c>
      <c r="C30" s="52" t="s">
        <v>28</v>
      </c>
      <c r="D30" s="52" t="s">
        <v>9</v>
      </c>
      <c r="E30" s="52" t="s">
        <v>19</v>
      </c>
      <c r="F30" s="52">
        <v>7</v>
      </c>
      <c r="G30" s="52">
        <v>110</v>
      </c>
      <c r="H30" s="48">
        <f t="shared" si="0"/>
        <v>770</v>
      </c>
      <c r="I30" s="60" t="s">
        <v>163</v>
      </c>
    </row>
    <row r="31" spans="2:13" ht="15.75" thickBot="1" x14ac:dyDescent="0.3">
      <c r="B31" s="5"/>
      <c r="C31" s="5"/>
      <c r="D31" s="5"/>
      <c r="E31" s="5"/>
      <c r="F31" s="5"/>
      <c r="G31" s="5"/>
      <c r="H31" s="5"/>
      <c r="I31" s="5"/>
    </row>
    <row r="32" spans="2:13" ht="19.5" thickBot="1" x14ac:dyDescent="0.35">
      <c r="B32" s="131" t="str">
        <f>IF('Etap 3'!$C$7&lt;&gt;"", B7&amp;": "&amp;  'Etap 3'!$C$7,"")</f>
        <v>3.2: Zadanie P3.2</v>
      </c>
      <c r="C32" s="132"/>
      <c r="D32" s="132"/>
      <c r="E32" s="132"/>
      <c r="F32" s="132"/>
      <c r="G32" s="132"/>
      <c r="H32" s="132"/>
      <c r="I32" s="133"/>
    </row>
    <row r="33" spans="2:13" ht="18.75" x14ac:dyDescent="0.3">
      <c r="B33" s="6" t="s">
        <v>1</v>
      </c>
      <c r="C33" s="7" t="s">
        <v>16</v>
      </c>
      <c r="D33" s="7" t="s">
        <v>3</v>
      </c>
      <c r="E33" s="7" t="s">
        <v>4</v>
      </c>
      <c r="F33" s="7" t="s">
        <v>15</v>
      </c>
      <c r="G33" s="7" t="s">
        <v>5</v>
      </c>
      <c r="H33" s="7" t="s">
        <v>6</v>
      </c>
      <c r="I33" s="8" t="s">
        <v>7</v>
      </c>
      <c r="K33" s="112" t="s">
        <v>183</v>
      </c>
      <c r="L33" s="113"/>
      <c r="M33" s="114"/>
    </row>
    <row r="34" spans="2:13" x14ac:dyDescent="0.25">
      <c r="B34" s="9" t="str">
        <f>IF(C34&lt;&gt;"","3.2.1","")</f>
        <v>3.2.1</v>
      </c>
      <c r="C34" s="51" t="s">
        <v>17</v>
      </c>
      <c r="D34" s="51" t="s">
        <v>10</v>
      </c>
      <c r="E34" s="51" t="s">
        <v>19</v>
      </c>
      <c r="F34" s="51">
        <v>5</v>
      </c>
      <c r="G34" s="51">
        <v>50</v>
      </c>
      <c r="H34" s="45">
        <f t="shared" ref="H34:H43" si="1">IF(C34&lt;&gt;"",F34*G34,"")</f>
        <v>250</v>
      </c>
      <c r="I34" s="59" t="s">
        <v>154</v>
      </c>
      <c r="K34" s="55" t="s">
        <v>167</v>
      </c>
      <c r="L34" s="54" t="s">
        <v>168</v>
      </c>
      <c r="M34" s="56" t="s">
        <v>169</v>
      </c>
    </row>
    <row r="35" spans="2:13" x14ac:dyDescent="0.25">
      <c r="B35" s="9" t="str">
        <f>IF(C35&lt;&gt;"","3.2.2","")</f>
        <v>3.2.2</v>
      </c>
      <c r="C35" s="51" t="s">
        <v>20</v>
      </c>
      <c r="D35" s="51" t="s">
        <v>11</v>
      </c>
      <c r="E35" s="51" t="s">
        <v>13</v>
      </c>
      <c r="F35" s="51">
        <v>8</v>
      </c>
      <c r="G35" s="51">
        <v>20</v>
      </c>
      <c r="H35" s="45">
        <f t="shared" si="1"/>
        <v>160</v>
      </c>
      <c r="I35" s="59" t="s">
        <v>155</v>
      </c>
      <c r="K35" s="100"/>
      <c r="L35" s="103"/>
      <c r="M35" s="106"/>
    </row>
    <row r="36" spans="2:13" x14ac:dyDescent="0.25">
      <c r="B36" s="9" t="str">
        <f>IF(C36&lt;&gt;"","3.2.3","")</f>
        <v>3.2.3</v>
      </c>
      <c r="C36" s="51" t="s">
        <v>21</v>
      </c>
      <c r="D36" s="51" t="s">
        <v>9</v>
      </c>
      <c r="E36" s="51" t="s">
        <v>19</v>
      </c>
      <c r="F36" s="51">
        <v>5</v>
      </c>
      <c r="G36" s="51">
        <v>8</v>
      </c>
      <c r="H36" s="45">
        <f t="shared" si="1"/>
        <v>40</v>
      </c>
      <c r="I36" s="59" t="s">
        <v>156</v>
      </c>
      <c r="K36" s="101"/>
      <c r="L36" s="104"/>
      <c r="M36" s="107"/>
    </row>
    <row r="37" spans="2:13" x14ac:dyDescent="0.25">
      <c r="B37" s="9" t="str">
        <f>IF(C37&lt;&gt;"","3.2.4","")</f>
        <v>3.2.4</v>
      </c>
      <c r="C37" s="51" t="s">
        <v>22</v>
      </c>
      <c r="D37" s="51" t="s">
        <v>9</v>
      </c>
      <c r="E37" s="51" t="s">
        <v>19</v>
      </c>
      <c r="F37" s="51">
        <v>8</v>
      </c>
      <c r="G37" s="51">
        <v>12</v>
      </c>
      <c r="H37" s="45">
        <f t="shared" si="1"/>
        <v>96</v>
      </c>
      <c r="I37" s="59" t="s">
        <v>157</v>
      </c>
      <c r="K37" s="109"/>
      <c r="L37" s="110"/>
      <c r="M37" s="111"/>
    </row>
    <row r="38" spans="2:13" x14ac:dyDescent="0.25">
      <c r="B38" s="9" t="str">
        <f>IF(C38&lt;&gt;"","3.2.5","")</f>
        <v>3.2.5</v>
      </c>
      <c r="C38" s="51" t="s">
        <v>23</v>
      </c>
      <c r="D38" s="51" t="s">
        <v>9</v>
      </c>
      <c r="E38" s="51" t="s">
        <v>19</v>
      </c>
      <c r="F38" s="51">
        <v>3</v>
      </c>
      <c r="G38" s="51">
        <v>16</v>
      </c>
      <c r="H38" s="45">
        <f t="shared" si="1"/>
        <v>48</v>
      </c>
      <c r="I38" s="59" t="s">
        <v>158</v>
      </c>
      <c r="K38" s="100"/>
      <c r="L38" s="103"/>
      <c r="M38" s="106"/>
    </row>
    <row r="39" spans="2:13" x14ac:dyDescent="0.25">
      <c r="B39" s="9" t="str">
        <f>IF(C39&lt;&gt;"","3.2.6","")</f>
        <v>3.2.6</v>
      </c>
      <c r="C39" s="51" t="s">
        <v>24</v>
      </c>
      <c r="D39" s="51" t="s">
        <v>9</v>
      </c>
      <c r="E39" s="51" t="s">
        <v>19</v>
      </c>
      <c r="F39" s="51">
        <v>4</v>
      </c>
      <c r="G39" s="51">
        <v>8</v>
      </c>
      <c r="H39" s="45">
        <f t="shared" si="1"/>
        <v>32</v>
      </c>
      <c r="I39" s="59" t="s">
        <v>159</v>
      </c>
      <c r="K39" s="101"/>
      <c r="L39" s="104"/>
      <c r="M39" s="107"/>
    </row>
    <row r="40" spans="2:13" x14ac:dyDescent="0.25">
      <c r="B40" s="9" t="str">
        <f>IF(C40&lt;&gt;"","3.2.7","")</f>
        <v>3.2.7</v>
      </c>
      <c r="C40" s="51" t="s">
        <v>26</v>
      </c>
      <c r="D40" s="51" t="s">
        <v>9</v>
      </c>
      <c r="E40" s="51" t="s">
        <v>19</v>
      </c>
      <c r="F40" s="51">
        <v>2</v>
      </c>
      <c r="G40" s="51">
        <v>55</v>
      </c>
      <c r="H40" s="45">
        <f t="shared" si="1"/>
        <v>110</v>
      </c>
      <c r="I40" s="59" t="s">
        <v>160</v>
      </c>
      <c r="K40" s="109"/>
      <c r="L40" s="110"/>
      <c r="M40" s="111"/>
    </row>
    <row r="41" spans="2:13" x14ac:dyDescent="0.25">
      <c r="B41" s="9" t="str">
        <f>IF(C41&lt;&gt;"","3.2.8","")</f>
        <v>3.2.8</v>
      </c>
      <c r="C41" s="51" t="s">
        <v>25</v>
      </c>
      <c r="D41" s="51" t="s">
        <v>9</v>
      </c>
      <c r="E41" s="51" t="s">
        <v>19</v>
      </c>
      <c r="F41" s="51">
        <v>6</v>
      </c>
      <c r="G41" s="51">
        <v>80</v>
      </c>
      <c r="H41" s="45">
        <f t="shared" si="1"/>
        <v>480</v>
      </c>
      <c r="I41" s="59" t="s">
        <v>161</v>
      </c>
      <c r="K41" s="100"/>
      <c r="L41" s="103"/>
      <c r="M41" s="106"/>
    </row>
    <row r="42" spans="2:13" x14ac:dyDescent="0.25">
      <c r="B42" s="9" t="str">
        <f>IF(C42&lt;&gt;"","3.2.9","")</f>
        <v>3.2.9</v>
      </c>
      <c r="C42" s="51" t="s">
        <v>27</v>
      </c>
      <c r="D42" s="51" t="s">
        <v>9</v>
      </c>
      <c r="E42" s="51" t="s">
        <v>19</v>
      </c>
      <c r="F42" s="51">
        <v>9</v>
      </c>
      <c r="G42" s="51">
        <v>90</v>
      </c>
      <c r="H42" s="45">
        <f t="shared" si="1"/>
        <v>810</v>
      </c>
      <c r="I42" s="59" t="s">
        <v>162</v>
      </c>
      <c r="K42" s="101"/>
      <c r="L42" s="104"/>
      <c r="M42" s="107"/>
    </row>
    <row r="43" spans="2:13" ht="15.75" thickBot="1" x14ac:dyDescent="0.3">
      <c r="B43" s="10" t="str">
        <f>IF(C43&lt;&gt;"","3.2.10","")</f>
        <v>3.2.10</v>
      </c>
      <c r="C43" s="52" t="s">
        <v>28</v>
      </c>
      <c r="D43" s="52" t="s">
        <v>9</v>
      </c>
      <c r="E43" s="52" t="s">
        <v>19</v>
      </c>
      <c r="F43" s="52">
        <v>7</v>
      </c>
      <c r="G43" s="52">
        <v>110</v>
      </c>
      <c r="H43" s="48">
        <f t="shared" si="1"/>
        <v>770</v>
      </c>
      <c r="I43" s="60" t="s">
        <v>163</v>
      </c>
      <c r="K43" s="109"/>
      <c r="L43" s="110"/>
      <c r="M43" s="111"/>
    </row>
    <row r="44" spans="2:13" ht="15.75" thickBot="1" x14ac:dyDescent="0.3">
      <c r="B44" s="5"/>
      <c r="C44" s="5"/>
      <c r="D44" s="5"/>
      <c r="E44" s="5"/>
      <c r="F44" s="5"/>
      <c r="G44" s="5"/>
      <c r="H44" s="5"/>
      <c r="I44" s="5"/>
      <c r="K44" s="100"/>
      <c r="L44" s="103"/>
      <c r="M44" s="106"/>
    </row>
    <row r="45" spans="2:13" ht="19.5" thickBot="1" x14ac:dyDescent="0.35">
      <c r="B45" s="118" t="str">
        <f>IF('Etap 3'!$C$8&lt;&gt;"", B8&amp;": "&amp;  'Etap 3'!$C$8,"")</f>
        <v>3.3: Zadanie P3.3</v>
      </c>
      <c r="C45" s="119"/>
      <c r="D45" s="119"/>
      <c r="E45" s="119"/>
      <c r="F45" s="119"/>
      <c r="G45" s="119"/>
      <c r="H45" s="119"/>
      <c r="I45" s="120"/>
      <c r="K45" s="101"/>
      <c r="L45" s="104"/>
      <c r="M45" s="107"/>
    </row>
    <row r="46" spans="2:13" ht="15.75" thickBot="1" x14ac:dyDescent="0.3">
      <c r="B46" s="6" t="s">
        <v>1</v>
      </c>
      <c r="C46" s="7" t="s">
        <v>16</v>
      </c>
      <c r="D46" s="7" t="s">
        <v>3</v>
      </c>
      <c r="E46" s="7" t="s">
        <v>4</v>
      </c>
      <c r="F46" s="7" t="s">
        <v>15</v>
      </c>
      <c r="G46" s="7" t="s">
        <v>5</v>
      </c>
      <c r="H46" s="7" t="s">
        <v>6</v>
      </c>
      <c r="I46" s="8" t="s">
        <v>7</v>
      </c>
      <c r="K46" s="102"/>
      <c r="L46" s="105"/>
      <c r="M46" s="108"/>
    </row>
    <row r="47" spans="2:13" x14ac:dyDescent="0.25">
      <c r="B47" s="41" t="str">
        <f>IF(C47&lt;&gt;"","3.3.1","")</f>
        <v>3.3.1</v>
      </c>
      <c r="C47" s="51" t="s">
        <v>17</v>
      </c>
      <c r="D47" s="51" t="s">
        <v>10</v>
      </c>
      <c r="E47" s="51" t="s">
        <v>19</v>
      </c>
      <c r="F47" s="51">
        <v>5</v>
      </c>
      <c r="G47" s="51">
        <v>50</v>
      </c>
      <c r="H47" s="45">
        <f t="shared" ref="H47:H56" si="2">IF(C47&lt;&gt;"",F47*G47,"")</f>
        <v>250</v>
      </c>
      <c r="I47" s="59" t="s">
        <v>154</v>
      </c>
    </row>
    <row r="48" spans="2:13" x14ac:dyDescent="0.25">
      <c r="B48" s="41" t="str">
        <f>IF(C48&lt;&gt;"","3.3.2","")</f>
        <v>3.3.2</v>
      </c>
      <c r="C48" s="51" t="s">
        <v>20</v>
      </c>
      <c r="D48" s="51" t="s">
        <v>11</v>
      </c>
      <c r="E48" s="51" t="s">
        <v>13</v>
      </c>
      <c r="F48" s="51">
        <v>8</v>
      </c>
      <c r="G48" s="51">
        <v>20</v>
      </c>
      <c r="H48" s="45">
        <f t="shared" si="2"/>
        <v>160</v>
      </c>
      <c r="I48" s="59" t="s">
        <v>155</v>
      </c>
    </row>
    <row r="49" spans="2:13" ht="15.75" thickBot="1" x14ac:dyDescent="0.3">
      <c r="B49" s="41" t="str">
        <f>IF(C49&lt;&gt;"","3.3.3","")</f>
        <v>3.3.3</v>
      </c>
      <c r="C49" s="51" t="s">
        <v>21</v>
      </c>
      <c r="D49" s="51" t="s">
        <v>9</v>
      </c>
      <c r="E49" s="51" t="s">
        <v>19</v>
      </c>
      <c r="F49" s="51">
        <v>5</v>
      </c>
      <c r="G49" s="51">
        <v>8</v>
      </c>
      <c r="H49" s="45">
        <f t="shared" si="2"/>
        <v>40</v>
      </c>
      <c r="I49" s="59" t="s">
        <v>156</v>
      </c>
    </row>
    <row r="50" spans="2:13" ht="18.75" x14ac:dyDescent="0.3">
      <c r="B50" s="41" t="str">
        <f>IF(C50&lt;&gt;"","3.3.4","")</f>
        <v>3.3.4</v>
      </c>
      <c r="C50" s="51" t="s">
        <v>22</v>
      </c>
      <c r="D50" s="51" t="s">
        <v>9</v>
      </c>
      <c r="E50" s="51" t="s">
        <v>19</v>
      </c>
      <c r="F50" s="51">
        <v>8</v>
      </c>
      <c r="G50" s="51">
        <v>12</v>
      </c>
      <c r="H50" s="45">
        <f t="shared" si="2"/>
        <v>96</v>
      </c>
      <c r="I50" s="59" t="s">
        <v>157</v>
      </c>
      <c r="K50" s="112" t="s">
        <v>185</v>
      </c>
      <c r="L50" s="113"/>
      <c r="M50" s="114"/>
    </row>
    <row r="51" spans="2:13" ht="15" customHeight="1" x14ac:dyDescent="0.25">
      <c r="B51" s="41" t="str">
        <f>IF(C51&lt;&gt;"","3.3.5","")</f>
        <v>3.3.5</v>
      </c>
      <c r="C51" s="51" t="s">
        <v>23</v>
      </c>
      <c r="D51" s="51" t="s">
        <v>9</v>
      </c>
      <c r="E51" s="51" t="s">
        <v>19</v>
      </c>
      <c r="F51" s="51">
        <v>3</v>
      </c>
      <c r="G51" s="51">
        <v>16</v>
      </c>
      <c r="H51" s="45">
        <f t="shared" si="2"/>
        <v>48</v>
      </c>
      <c r="I51" s="59" t="s">
        <v>158</v>
      </c>
      <c r="K51" s="162" t="s">
        <v>186</v>
      </c>
      <c r="L51" s="134"/>
      <c r="M51" s="134"/>
    </row>
    <row r="52" spans="2:13" x14ac:dyDescent="0.25">
      <c r="B52" s="41" t="str">
        <f>IF(C52&lt;&gt;"","3.3.6","")</f>
        <v>3.3.6</v>
      </c>
      <c r="C52" s="51" t="s">
        <v>24</v>
      </c>
      <c r="D52" s="51" t="s">
        <v>9</v>
      </c>
      <c r="E52" s="51" t="s">
        <v>19</v>
      </c>
      <c r="F52" s="51">
        <v>4</v>
      </c>
      <c r="G52" s="51">
        <v>8</v>
      </c>
      <c r="H52" s="45">
        <f t="shared" si="2"/>
        <v>32</v>
      </c>
      <c r="I52" s="59" t="s">
        <v>159</v>
      </c>
      <c r="K52" s="163"/>
      <c r="L52" s="134"/>
      <c r="M52" s="134"/>
    </row>
    <row r="53" spans="2:13" x14ac:dyDescent="0.25">
      <c r="B53" s="41" t="str">
        <f>IF(C53&lt;&gt;"","3.3.7","")</f>
        <v>3.3.7</v>
      </c>
      <c r="C53" s="51" t="s">
        <v>26</v>
      </c>
      <c r="D53" s="51" t="s">
        <v>9</v>
      </c>
      <c r="E53" s="51" t="s">
        <v>19</v>
      </c>
      <c r="F53" s="51">
        <v>2</v>
      </c>
      <c r="G53" s="51">
        <v>55</v>
      </c>
      <c r="H53" s="45">
        <f t="shared" si="2"/>
        <v>110</v>
      </c>
      <c r="I53" s="59" t="s">
        <v>160</v>
      </c>
      <c r="K53" s="163"/>
      <c r="L53" s="134"/>
      <c r="M53" s="134"/>
    </row>
    <row r="54" spans="2:13" x14ac:dyDescent="0.25">
      <c r="B54" s="41" t="str">
        <f>IF(C54&lt;&gt;"","3.3.8","")</f>
        <v>3.3.8</v>
      </c>
      <c r="C54" s="51" t="s">
        <v>25</v>
      </c>
      <c r="D54" s="51" t="s">
        <v>9</v>
      </c>
      <c r="E54" s="51" t="s">
        <v>19</v>
      </c>
      <c r="F54" s="51">
        <v>6</v>
      </c>
      <c r="G54" s="51">
        <v>80</v>
      </c>
      <c r="H54" s="45">
        <f t="shared" si="2"/>
        <v>480</v>
      </c>
      <c r="I54" s="59" t="s">
        <v>161</v>
      </c>
      <c r="K54" s="163"/>
      <c r="L54" s="134"/>
      <c r="M54" s="134"/>
    </row>
    <row r="55" spans="2:13" x14ac:dyDescent="0.25">
      <c r="B55" s="41" t="str">
        <f>IF(C55&lt;&gt;"","3.3.9","")</f>
        <v>3.3.9</v>
      </c>
      <c r="C55" s="51" t="s">
        <v>27</v>
      </c>
      <c r="D55" s="51" t="s">
        <v>9</v>
      </c>
      <c r="E55" s="51" t="s">
        <v>19</v>
      </c>
      <c r="F55" s="51">
        <v>9</v>
      </c>
      <c r="G55" s="51">
        <v>90</v>
      </c>
      <c r="H55" s="45">
        <f t="shared" si="2"/>
        <v>810</v>
      </c>
      <c r="I55" s="59" t="s">
        <v>162</v>
      </c>
      <c r="K55" s="163"/>
      <c r="L55" s="134"/>
      <c r="M55" s="134"/>
    </row>
    <row r="56" spans="2:13" ht="15.75" thickBot="1" x14ac:dyDescent="0.3">
      <c r="B56" s="42" t="str">
        <f>IF(C56&lt;&gt;"","3.3.10","")</f>
        <v>3.3.10</v>
      </c>
      <c r="C56" s="52" t="s">
        <v>28</v>
      </c>
      <c r="D56" s="52" t="s">
        <v>9</v>
      </c>
      <c r="E56" s="52" t="s">
        <v>19</v>
      </c>
      <c r="F56" s="52">
        <v>7</v>
      </c>
      <c r="G56" s="52">
        <v>110</v>
      </c>
      <c r="H56" s="48">
        <f t="shared" si="2"/>
        <v>770</v>
      </c>
      <c r="I56" s="60" t="s">
        <v>163</v>
      </c>
      <c r="K56" s="163"/>
      <c r="L56" s="134"/>
      <c r="M56" s="134"/>
    </row>
    <row r="57" spans="2:13" ht="15.75" thickBot="1" x14ac:dyDescent="0.3">
      <c r="B57" s="5"/>
      <c r="C57" s="5"/>
      <c r="D57" s="5"/>
      <c r="E57" s="5"/>
      <c r="F57" s="5"/>
      <c r="G57" s="5"/>
      <c r="H57" s="5"/>
      <c r="I57" s="5"/>
      <c r="K57" s="163"/>
      <c r="L57" s="134"/>
      <c r="M57" s="134"/>
    </row>
    <row r="58" spans="2:13" ht="19.5" thickBot="1" x14ac:dyDescent="0.35">
      <c r="B58" s="118" t="str">
        <f>IF('Etap 3'!$C$9&lt;&gt;"",B9&amp;": "&amp;  'Etap 3'!$C$9,"")</f>
        <v>3.4: Zadanie P3.4</v>
      </c>
      <c r="C58" s="119"/>
      <c r="D58" s="119"/>
      <c r="E58" s="119"/>
      <c r="F58" s="119"/>
      <c r="G58" s="119"/>
      <c r="H58" s="119"/>
      <c r="I58" s="120"/>
      <c r="K58" s="163"/>
      <c r="L58" s="134"/>
      <c r="M58" s="134"/>
    </row>
    <row r="59" spans="2:13" x14ac:dyDescent="0.25">
      <c r="B59" s="6" t="s">
        <v>1</v>
      </c>
      <c r="C59" s="7" t="s">
        <v>16</v>
      </c>
      <c r="D59" s="7" t="s">
        <v>3</v>
      </c>
      <c r="E59" s="7" t="s">
        <v>4</v>
      </c>
      <c r="F59" s="7" t="s">
        <v>15</v>
      </c>
      <c r="G59" s="7" t="s">
        <v>5</v>
      </c>
      <c r="H59" s="7" t="s">
        <v>6</v>
      </c>
      <c r="I59" s="8" t="s">
        <v>7</v>
      </c>
      <c r="K59" s="163"/>
      <c r="L59" s="134"/>
      <c r="M59" s="134"/>
    </row>
    <row r="60" spans="2:13" ht="15.75" customHeight="1" x14ac:dyDescent="0.25">
      <c r="B60" s="41" t="str">
        <f>IF(C60&lt;&gt;"","3.4.1","")</f>
        <v>3.4.1</v>
      </c>
      <c r="C60" s="51" t="s">
        <v>17</v>
      </c>
      <c r="D60" s="51" t="s">
        <v>10</v>
      </c>
      <c r="E60" s="51" t="s">
        <v>19</v>
      </c>
      <c r="F60" s="51">
        <v>5</v>
      </c>
      <c r="G60" s="51">
        <v>50</v>
      </c>
      <c r="H60" s="45">
        <f t="shared" ref="H60:H69" si="3">IF(C60&lt;&gt;"",F60*G60,"")</f>
        <v>250</v>
      </c>
      <c r="I60" s="59" t="s">
        <v>154</v>
      </c>
      <c r="K60" s="163"/>
      <c r="L60" s="134"/>
      <c r="M60" s="134"/>
    </row>
    <row r="61" spans="2:13" ht="15.75" customHeight="1" x14ac:dyDescent="0.25">
      <c r="B61" s="41" t="str">
        <f>IF(C61&lt;&gt;"","3.4.2","")</f>
        <v>3.4.2</v>
      </c>
      <c r="C61" s="51" t="s">
        <v>20</v>
      </c>
      <c r="D61" s="51" t="s">
        <v>11</v>
      </c>
      <c r="E61" s="51" t="s">
        <v>13</v>
      </c>
      <c r="F61" s="51">
        <v>8</v>
      </c>
      <c r="G61" s="51">
        <v>20</v>
      </c>
      <c r="H61" s="45">
        <f t="shared" si="3"/>
        <v>160</v>
      </c>
      <c r="I61" s="59" t="s">
        <v>155</v>
      </c>
      <c r="K61" s="162" t="s">
        <v>187</v>
      </c>
      <c r="L61" s="134"/>
      <c r="M61" s="134"/>
    </row>
    <row r="62" spans="2:13" ht="15.75" customHeight="1" x14ac:dyDescent="0.25">
      <c r="B62" s="41" t="str">
        <f>IF(C62&lt;&gt;"","3.4.3","")</f>
        <v>3.4.3</v>
      </c>
      <c r="C62" s="51" t="s">
        <v>21</v>
      </c>
      <c r="D62" s="51" t="s">
        <v>9</v>
      </c>
      <c r="E62" s="51" t="s">
        <v>19</v>
      </c>
      <c r="F62" s="51">
        <v>5</v>
      </c>
      <c r="G62" s="51">
        <v>8</v>
      </c>
      <c r="H62" s="45">
        <f t="shared" si="3"/>
        <v>40</v>
      </c>
      <c r="I62" s="59" t="s">
        <v>156</v>
      </c>
      <c r="K62" s="163"/>
      <c r="L62" s="134"/>
      <c r="M62" s="134"/>
    </row>
    <row r="63" spans="2:13" ht="15.75" customHeight="1" x14ac:dyDescent="0.25">
      <c r="B63" s="41" t="str">
        <f>IF(C63&lt;&gt;"","3.4.4","")</f>
        <v>3.4.4</v>
      </c>
      <c r="C63" s="51" t="s">
        <v>22</v>
      </c>
      <c r="D63" s="51" t="s">
        <v>9</v>
      </c>
      <c r="E63" s="51" t="s">
        <v>19</v>
      </c>
      <c r="F63" s="51">
        <v>8</v>
      </c>
      <c r="G63" s="51">
        <v>12</v>
      </c>
      <c r="H63" s="45">
        <f t="shared" si="3"/>
        <v>96</v>
      </c>
      <c r="I63" s="59" t="s">
        <v>157</v>
      </c>
      <c r="K63" s="163"/>
      <c r="L63" s="134"/>
      <c r="M63" s="134"/>
    </row>
    <row r="64" spans="2:13" ht="15.75" customHeight="1" x14ac:dyDescent="0.25">
      <c r="B64" s="41" t="str">
        <f>IF(C64&lt;&gt;"","3.4.5","")</f>
        <v>3.4.5</v>
      </c>
      <c r="C64" s="51" t="s">
        <v>23</v>
      </c>
      <c r="D64" s="51" t="s">
        <v>9</v>
      </c>
      <c r="E64" s="51" t="s">
        <v>19</v>
      </c>
      <c r="F64" s="51">
        <v>3</v>
      </c>
      <c r="G64" s="51">
        <v>16</v>
      </c>
      <c r="H64" s="45">
        <f t="shared" si="3"/>
        <v>48</v>
      </c>
      <c r="I64" s="59" t="s">
        <v>158</v>
      </c>
      <c r="K64" s="163"/>
      <c r="L64" s="134"/>
      <c r="M64" s="134"/>
    </row>
    <row r="65" spans="2:13" ht="15.75" customHeight="1" x14ac:dyDescent="0.25">
      <c r="B65" s="41" t="str">
        <f>IF(C65&lt;&gt;"","3.4.6","")</f>
        <v>3.4.6</v>
      </c>
      <c r="C65" s="51" t="s">
        <v>24</v>
      </c>
      <c r="D65" s="51" t="s">
        <v>9</v>
      </c>
      <c r="E65" s="51" t="s">
        <v>19</v>
      </c>
      <c r="F65" s="51">
        <v>4</v>
      </c>
      <c r="G65" s="51">
        <v>8</v>
      </c>
      <c r="H65" s="45">
        <f t="shared" si="3"/>
        <v>32</v>
      </c>
      <c r="I65" s="59" t="s">
        <v>159</v>
      </c>
      <c r="K65" s="163"/>
      <c r="L65" s="134"/>
      <c r="M65" s="134"/>
    </row>
    <row r="66" spans="2:13" ht="15.75" customHeight="1" x14ac:dyDescent="0.25">
      <c r="B66" s="41" t="str">
        <f>IF(C66&lt;&gt;"","3.4.7","")</f>
        <v>3.4.7</v>
      </c>
      <c r="C66" s="51" t="s">
        <v>26</v>
      </c>
      <c r="D66" s="51" t="s">
        <v>9</v>
      </c>
      <c r="E66" s="51" t="s">
        <v>19</v>
      </c>
      <c r="F66" s="51">
        <v>2</v>
      </c>
      <c r="G66" s="51">
        <v>55</v>
      </c>
      <c r="H66" s="45">
        <f t="shared" si="3"/>
        <v>110</v>
      </c>
      <c r="I66" s="59" t="s">
        <v>160</v>
      </c>
      <c r="K66" s="163"/>
      <c r="L66" s="134"/>
      <c r="M66" s="134"/>
    </row>
    <row r="67" spans="2:13" x14ac:dyDescent="0.25">
      <c r="B67" s="41" t="str">
        <f>IF(C67&lt;&gt;"","3.4.8","")</f>
        <v>3.4.8</v>
      </c>
      <c r="C67" s="51" t="s">
        <v>25</v>
      </c>
      <c r="D67" s="51" t="s">
        <v>9</v>
      </c>
      <c r="E67" s="51" t="s">
        <v>19</v>
      </c>
      <c r="F67" s="51">
        <v>6</v>
      </c>
      <c r="G67" s="51">
        <v>80</v>
      </c>
      <c r="H67" s="45">
        <f t="shared" si="3"/>
        <v>480</v>
      </c>
      <c r="I67" s="59" t="s">
        <v>161</v>
      </c>
      <c r="K67" s="163"/>
      <c r="L67" s="134"/>
      <c r="M67" s="134"/>
    </row>
    <row r="68" spans="2:13" x14ac:dyDescent="0.25">
      <c r="B68" s="41" t="str">
        <f>IF(C68&lt;&gt;"","3.4.9","")</f>
        <v>3.4.9</v>
      </c>
      <c r="C68" s="51" t="s">
        <v>27</v>
      </c>
      <c r="D68" s="51" t="s">
        <v>9</v>
      </c>
      <c r="E68" s="51" t="s">
        <v>19</v>
      </c>
      <c r="F68" s="51">
        <v>9</v>
      </c>
      <c r="G68" s="51">
        <v>90</v>
      </c>
      <c r="H68" s="45">
        <f t="shared" si="3"/>
        <v>810</v>
      </c>
      <c r="I68" s="59" t="s">
        <v>162</v>
      </c>
      <c r="K68" s="163"/>
      <c r="L68" s="134"/>
      <c r="M68" s="134"/>
    </row>
    <row r="69" spans="2:13" ht="15.75" thickBot="1" x14ac:dyDescent="0.3">
      <c r="B69" s="42" t="str">
        <f>IF(C69&lt;&gt;"","3.4.10","")</f>
        <v>3.4.10</v>
      </c>
      <c r="C69" s="52" t="s">
        <v>28</v>
      </c>
      <c r="D69" s="52" t="s">
        <v>9</v>
      </c>
      <c r="E69" s="52" t="s">
        <v>19</v>
      </c>
      <c r="F69" s="52">
        <v>7</v>
      </c>
      <c r="G69" s="52">
        <v>110</v>
      </c>
      <c r="H69" s="48">
        <f t="shared" si="3"/>
        <v>770</v>
      </c>
      <c r="I69" s="60" t="s">
        <v>163</v>
      </c>
      <c r="K69" s="163"/>
      <c r="L69" s="134"/>
      <c r="M69" s="134"/>
    </row>
    <row r="70" spans="2:13" ht="15.75" thickBot="1" x14ac:dyDescent="0.3">
      <c r="B70" s="5"/>
      <c r="C70" s="5"/>
      <c r="D70" s="5"/>
      <c r="E70" s="5"/>
      <c r="F70" s="5"/>
      <c r="G70" s="5"/>
      <c r="H70" s="5"/>
      <c r="I70" s="5"/>
      <c r="K70" s="163"/>
      <c r="L70" s="134"/>
      <c r="M70" s="134"/>
    </row>
    <row r="71" spans="2:13" ht="19.5" thickBot="1" x14ac:dyDescent="0.35">
      <c r="B71" s="118" t="str">
        <f>IF('Etap 3'!$C$10&lt;&gt;"",B10&amp;": "&amp;  'Etap 3'!$C$10,"")</f>
        <v>3.5: Zadanie P3.5</v>
      </c>
      <c r="C71" s="119"/>
      <c r="D71" s="119"/>
      <c r="E71" s="119"/>
      <c r="F71" s="119"/>
      <c r="G71" s="119"/>
      <c r="H71" s="119"/>
      <c r="I71" s="120"/>
      <c r="K71" s="162" t="s">
        <v>188</v>
      </c>
      <c r="L71" s="134"/>
      <c r="M71" s="134"/>
    </row>
    <row r="72" spans="2:13" x14ac:dyDescent="0.25">
      <c r="B72" s="6" t="s">
        <v>1</v>
      </c>
      <c r="C72" s="7" t="s">
        <v>16</v>
      </c>
      <c r="D72" s="7" t="s">
        <v>3</v>
      </c>
      <c r="E72" s="7" t="s">
        <v>4</v>
      </c>
      <c r="F72" s="7" t="s">
        <v>15</v>
      </c>
      <c r="G72" s="7" t="s">
        <v>5</v>
      </c>
      <c r="H72" s="7" t="s">
        <v>6</v>
      </c>
      <c r="I72" s="8" t="s">
        <v>7</v>
      </c>
      <c r="K72" s="163"/>
      <c r="L72" s="134"/>
      <c r="M72" s="134"/>
    </row>
    <row r="73" spans="2:13" x14ac:dyDescent="0.25">
      <c r="B73" s="41" t="str">
        <f>IF(C73&lt;&gt;"","3.5.1","")</f>
        <v>3.5.1</v>
      </c>
      <c r="C73" s="51" t="s">
        <v>17</v>
      </c>
      <c r="D73" s="51" t="s">
        <v>10</v>
      </c>
      <c r="E73" s="51" t="s">
        <v>19</v>
      </c>
      <c r="F73" s="51">
        <v>5</v>
      </c>
      <c r="G73" s="51">
        <v>50</v>
      </c>
      <c r="H73" s="45">
        <f t="shared" ref="H73:H82" si="4">IF(C73&lt;&gt;"",F73*G73,"")</f>
        <v>250</v>
      </c>
      <c r="I73" s="59" t="s">
        <v>154</v>
      </c>
      <c r="K73" s="163"/>
      <c r="L73" s="134"/>
      <c r="M73" s="134"/>
    </row>
    <row r="74" spans="2:13" x14ac:dyDescent="0.25">
      <c r="B74" s="41" t="str">
        <f>IF(C74&lt;&gt;"","3.5.2","")</f>
        <v>3.5.2</v>
      </c>
      <c r="C74" s="51" t="s">
        <v>20</v>
      </c>
      <c r="D74" s="51" t="s">
        <v>11</v>
      </c>
      <c r="E74" s="51" t="s">
        <v>13</v>
      </c>
      <c r="F74" s="51">
        <v>8</v>
      </c>
      <c r="G74" s="51">
        <v>20</v>
      </c>
      <c r="H74" s="45">
        <f t="shared" si="4"/>
        <v>160</v>
      </c>
      <c r="I74" s="59" t="s">
        <v>155</v>
      </c>
      <c r="K74" s="163"/>
      <c r="L74" s="134"/>
      <c r="M74" s="134"/>
    </row>
    <row r="75" spans="2:13" x14ac:dyDescent="0.25">
      <c r="B75" s="41" t="str">
        <f>IF(C75&lt;&gt;"","3.5.3","")</f>
        <v>3.5.3</v>
      </c>
      <c r="C75" s="51" t="s">
        <v>21</v>
      </c>
      <c r="D75" s="51" t="s">
        <v>9</v>
      </c>
      <c r="E75" s="51" t="s">
        <v>19</v>
      </c>
      <c r="F75" s="51">
        <v>5</v>
      </c>
      <c r="G75" s="51">
        <v>8</v>
      </c>
      <c r="H75" s="45">
        <f t="shared" si="4"/>
        <v>40</v>
      </c>
      <c r="I75" s="59" t="s">
        <v>156</v>
      </c>
      <c r="K75" s="163"/>
      <c r="L75" s="134"/>
      <c r="M75" s="134"/>
    </row>
    <row r="76" spans="2:13" ht="15" customHeight="1" x14ac:dyDescent="0.25">
      <c r="B76" s="41" t="str">
        <f>IF(C76&lt;&gt;"","3.5.4","")</f>
        <v>3.5.4</v>
      </c>
      <c r="C76" s="51" t="s">
        <v>22</v>
      </c>
      <c r="D76" s="51" t="s">
        <v>9</v>
      </c>
      <c r="E76" s="51" t="s">
        <v>19</v>
      </c>
      <c r="F76" s="51">
        <v>8</v>
      </c>
      <c r="G76" s="51">
        <v>12</v>
      </c>
      <c r="H76" s="45">
        <f t="shared" si="4"/>
        <v>96</v>
      </c>
      <c r="I76" s="59" t="s">
        <v>157</v>
      </c>
      <c r="K76" s="163"/>
      <c r="L76" s="134"/>
      <c r="M76" s="134"/>
    </row>
    <row r="77" spans="2:13" x14ac:dyDescent="0.25">
      <c r="B77" s="41" t="str">
        <f>IF(C77&lt;&gt;"","3.5.5","")</f>
        <v>3.5.5</v>
      </c>
      <c r="C77" s="51" t="s">
        <v>23</v>
      </c>
      <c r="D77" s="51" t="s">
        <v>9</v>
      </c>
      <c r="E77" s="51" t="s">
        <v>19</v>
      </c>
      <c r="F77" s="51">
        <v>3</v>
      </c>
      <c r="G77" s="51">
        <v>16</v>
      </c>
      <c r="H77" s="45">
        <f t="shared" si="4"/>
        <v>48</v>
      </c>
      <c r="I77" s="59" t="s">
        <v>158</v>
      </c>
      <c r="K77" s="163"/>
      <c r="L77" s="134"/>
      <c r="M77" s="134"/>
    </row>
    <row r="78" spans="2:13" x14ac:dyDescent="0.25">
      <c r="B78" s="41" t="str">
        <f>IF(C78&lt;&gt;"","3.5.6","")</f>
        <v>3.5.6</v>
      </c>
      <c r="C78" s="51" t="s">
        <v>24</v>
      </c>
      <c r="D78" s="51" t="s">
        <v>9</v>
      </c>
      <c r="E78" s="51" t="s">
        <v>19</v>
      </c>
      <c r="F78" s="51">
        <v>4</v>
      </c>
      <c r="G78" s="51">
        <v>8</v>
      </c>
      <c r="H78" s="45">
        <f t="shared" si="4"/>
        <v>32</v>
      </c>
      <c r="I78" s="59" t="s">
        <v>159</v>
      </c>
      <c r="K78" s="163"/>
      <c r="L78" s="134"/>
      <c r="M78" s="134"/>
    </row>
    <row r="79" spans="2:13" x14ac:dyDescent="0.25">
      <c r="B79" s="41" t="str">
        <f>IF(C79&lt;&gt;"","3.5.7","")</f>
        <v>3.5.7</v>
      </c>
      <c r="C79" s="51" t="s">
        <v>26</v>
      </c>
      <c r="D79" s="51" t="s">
        <v>9</v>
      </c>
      <c r="E79" s="51" t="s">
        <v>19</v>
      </c>
      <c r="F79" s="51">
        <v>2</v>
      </c>
      <c r="G79" s="51">
        <v>55</v>
      </c>
      <c r="H79" s="45">
        <f t="shared" si="4"/>
        <v>110</v>
      </c>
      <c r="I79" s="59" t="s">
        <v>160</v>
      </c>
      <c r="K79" s="163"/>
      <c r="L79" s="134"/>
      <c r="M79" s="134"/>
    </row>
    <row r="80" spans="2:13" x14ac:dyDescent="0.25">
      <c r="B80" s="41" t="str">
        <f>IF(C80&lt;&gt;"","3.5.8","")</f>
        <v>3.5.8</v>
      </c>
      <c r="C80" s="51" t="s">
        <v>25</v>
      </c>
      <c r="D80" s="51" t="s">
        <v>9</v>
      </c>
      <c r="E80" s="51" t="s">
        <v>19</v>
      </c>
      <c r="F80" s="51">
        <v>6</v>
      </c>
      <c r="G80" s="51">
        <v>80</v>
      </c>
      <c r="H80" s="45">
        <f t="shared" si="4"/>
        <v>480</v>
      </c>
      <c r="I80" s="59" t="s">
        <v>161</v>
      </c>
      <c r="K80" s="163"/>
      <c r="L80" s="134"/>
      <c r="M80" s="134"/>
    </row>
    <row r="81" spans="2:13" x14ac:dyDescent="0.25">
      <c r="B81" s="41" t="str">
        <f>IF(C81&lt;&gt;"","3.5.9","")</f>
        <v>3.5.9</v>
      </c>
      <c r="C81" s="51" t="s">
        <v>27</v>
      </c>
      <c r="D81" s="51" t="s">
        <v>9</v>
      </c>
      <c r="E81" s="51" t="s">
        <v>19</v>
      </c>
      <c r="F81" s="51">
        <v>9</v>
      </c>
      <c r="G81" s="51">
        <v>90</v>
      </c>
      <c r="H81" s="45">
        <f t="shared" si="4"/>
        <v>810</v>
      </c>
      <c r="I81" s="59" t="s">
        <v>162</v>
      </c>
      <c r="K81" s="162" t="s">
        <v>189</v>
      </c>
      <c r="L81" s="134"/>
      <c r="M81" s="134"/>
    </row>
    <row r="82" spans="2:13" ht="15.75" thickBot="1" x14ac:dyDescent="0.3">
      <c r="B82" s="42" t="str">
        <f>IF(C82&lt;&gt;"","3.5.10","")</f>
        <v>3.5.10</v>
      </c>
      <c r="C82" s="52" t="s">
        <v>28</v>
      </c>
      <c r="D82" s="52" t="s">
        <v>9</v>
      </c>
      <c r="E82" s="52" t="s">
        <v>19</v>
      </c>
      <c r="F82" s="52">
        <v>7</v>
      </c>
      <c r="G82" s="52">
        <v>110</v>
      </c>
      <c r="H82" s="48">
        <f t="shared" si="4"/>
        <v>770</v>
      </c>
      <c r="I82" s="60" t="s">
        <v>163</v>
      </c>
      <c r="K82" s="163"/>
      <c r="L82" s="134"/>
      <c r="M82" s="134"/>
    </row>
    <row r="83" spans="2:13" ht="15.75" thickBot="1" x14ac:dyDescent="0.3">
      <c r="B83" s="5"/>
      <c r="C83" s="5"/>
      <c r="D83" s="5"/>
      <c r="E83" s="5"/>
      <c r="F83" s="5"/>
      <c r="G83" s="5"/>
      <c r="H83" s="5"/>
      <c r="I83" s="5"/>
      <c r="K83" s="163"/>
      <c r="L83" s="134"/>
      <c r="M83" s="134"/>
    </row>
    <row r="84" spans="2:13" ht="19.5" thickBot="1" x14ac:dyDescent="0.35">
      <c r="B84" s="118" t="str">
        <f>IF('Etap 3'!$C$11&lt;&gt;"",B11&amp;": "&amp;  'Etap 3'!$C$11,"")</f>
        <v>3.6: Zadanie P3.6</v>
      </c>
      <c r="C84" s="119"/>
      <c r="D84" s="119"/>
      <c r="E84" s="119"/>
      <c r="F84" s="119"/>
      <c r="G84" s="119"/>
      <c r="H84" s="119"/>
      <c r="I84" s="120"/>
      <c r="K84" s="163"/>
      <c r="L84" s="134"/>
      <c r="M84" s="134"/>
    </row>
    <row r="85" spans="2:13" x14ac:dyDescent="0.25">
      <c r="B85" s="6" t="s">
        <v>1</v>
      </c>
      <c r="C85" s="7" t="s">
        <v>16</v>
      </c>
      <c r="D85" s="7" t="s">
        <v>3</v>
      </c>
      <c r="E85" s="7" t="s">
        <v>4</v>
      </c>
      <c r="F85" s="7" t="s">
        <v>15</v>
      </c>
      <c r="G85" s="7" t="s">
        <v>5</v>
      </c>
      <c r="H85" s="7" t="s">
        <v>6</v>
      </c>
      <c r="I85" s="8" t="s">
        <v>7</v>
      </c>
      <c r="K85" s="163"/>
      <c r="L85" s="134"/>
      <c r="M85" s="134"/>
    </row>
    <row r="86" spans="2:13" ht="15" customHeight="1" x14ac:dyDescent="0.25">
      <c r="B86" s="41" t="str">
        <f>IF(C86&lt;&gt;"","3.6.1","")</f>
        <v>3.6.1</v>
      </c>
      <c r="C86" s="51" t="s">
        <v>17</v>
      </c>
      <c r="D86" s="51" t="s">
        <v>10</v>
      </c>
      <c r="E86" s="51" t="s">
        <v>19</v>
      </c>
      <c r="F86" s="51">
        <v>5</v>
      </c>
      <c r="G86" s="51">
        <v>50</v>
      </c>
      <c r="H86" s="45">
        <f t="shared" ref="H86:H95" si="5">IF(C86&lt;&gt;"",F86*G86,"")</f>
        <v>250</v>
      </c>
      <c r="I86" s="59" t="s">
        <v>154</v>
      </c>
      <c r="K86" s="163"/>
      <c r="L86" s="134"/>
      <c r="M86" s="134"/>
    </row>
    <row r="87" spans="2:13" x14ac:dyDescent="0.25">
      <c r="B87" s="41" t="str">
        <f>IF(C87&lt;&gt;"","3.6.2","")</f>
        <v>3.6.2</v>
      </c>
      <c r="C87" s="51" t="s">
        <v>20</v>
      </c>
      <c r="D87" s="51" t="s">
        <v>11</v>
      </c>
      <c r="E87" s="51" t="s">
        <v>13</v>
      </c>
      <c r="F87" s="51">
        <v>8</v>
      </c>
      <c r="G87" s="51">
        <v>20</v>
      </c>
      <c r="H87" s="45">
        <f t="shared" si="5"/>
        <v>160</v>
      </c>
      <c r="I87" s="59" t="s">
        <v>155</v>
      </c>
      <c r="K87" s="163"/>
      <c r="L87" s="134"/>
      <c r="M87" s="134"/>
    </row>
    <row r="88" spans="2:13" x14ac:dyDescent="0.25">
      <c r="B88" s="41" t="str">
        <f>IF(C88&lt;&gt;"","3.6.3","")</f>
        <v>3.6.3</v>
      </c>
      <c r="C88" s="51" t="s">
        <v>21</v>
      </c>
      <c r="D88" s="51" t="s">
        <v>9</v>
      </c>
      <c r="E88" s="51" t="s">
        <v>19</v>
      </c>
      <c r="F88" s="51">
        <v>5</v>
      </c>
      <c r="G88" s="51">
        <v>8</v>
      </c>
      <c r="H88" s="45">
        <f t="shared" si="5"/>
        <v>40</v>
      </c>
      <c r="I88" s="59" t="s">
        <v>156</v>
      </c>
      <c r="K88" s="163"/>
      <c r="L88" s="134"/>
      <c r="M88" s="134"/>
    </row>
    <row r="89" spans="2:13" x14ac:dyDescent="0.25">
      <c r="B89" s="41" t="str">
        <f>IF(C89&lt;&gt;"","3.6.4","")</f>
        <v>3.6.4</v>
      </c>
      <c r="C89" s="51" t="s">
        <v>22</v>
      </c>
      <c r="D89" s="51" t="s">
        <v>9</v>
      </c>
      <c r="E89" s="51" t="s">
        <v>19</v>
      </c>
      <c r="F89" s="51">
        <v>8</v>
      </c>
      <c r="G89" s="51">
        <v>12</v>
      </c>
      <c r="H89" s="45">
        <f t="shared" si="5"/>
        <v>96</v>
      </c>
      <c r="I89" s="59" t="s">
        <v>157</v>
      </c>
      <c r="K89" s="163"/>
      <c r="L89" s="134"/>
      <c r="M89" s="134"/>
    </row>
    <row r="90" spans="2:13" x14ac:dyDescent="0.25">
      <c r="B90" s="41" t="str">
        <f>IF(C90&lt;&gt;"","3.6.5","")</f>
        <v>3.6.5</v>
      </c>
      <c r="C90" s="51" t="s">
        <v>23</v>
      </c>
      <c r="D90" s="51" t="s">
        <v>9</v>
      </c>
      <c r="E90" s="51" t="s">
        <v>19</v>
      </c>
      <c r="F90" s="51">
        <v>3</v>
      </c>
      <c r="G90" s="51">
        <v>16</v>
      </c>
      <c r="H90" s="45">
        <f t="shared" si="5"/>
        <v>48</v>
      </c>
      <c r="I90" s="59" t="s">
        <v>158</v>
      </c>
      <c r="K90" s="163"/>
      <c r="L90" s="134"/>
      <c r="M90" s="134"/>
    </row>
    <row r="91" spans="2:13" x14ac:dyDescent="0.25">
      <c r="B91" s="41" t="str">
        <f>IF(C91&lt;&gt;"","3.6.6","")</f>
        <v>3.6.6</v>
      </c>
      <c r="C91" s="51" t="s">
        <v>24</v>
      </c>
      <c r="D91" s="51" t="s">
        <v>9</v>
      </c>
      <c r="E91" s="51" t="s">
        <v>19</v>
      </c>
      <c r="F91" s="51">
        <v>4</v>
      </c>
      <c r="G91" s="51">
        <v>8</v>
      </c>
      <c r="H91" s="45">
        <f t="shared" si="5"/>
        <v>32</v>
      </c>
      <c r="I91" s="59" t="s">
        <v>159</v>
      </c>
      <c r="K91" s="164" t="s">
        <v>190</v>
      </c>
      <c r="L91" s="165"/>
      <c r="M91" s="166"/>
    </row>
    <row r="92" spans="2:13" x14ac:dyDescent="0.25">
      <c r="B92" s="41" t="str">
        <f>IF(C92&lt;&gt;"","3.6.7","")</f>
        <v>3.6.7</v>
      </c>
      <c r="C92" s="51" t="s">
        <v>26</v>
      </c>
      <c r="D92" s="51" t="s">
        <v>9</v>
      </c>
      <c r="E92" s="51" t="s">
        <v>19</v>
      </c>
      <c r="F92" s="51">
        <v>2</v>
      </c>
      <c r="G92" s="51">
        <v>55</v>
      </c>
      <c r="H92" s="45">
        <f t="shared" si="5"/>
        <v>110</v>
      </c>
      <c r="I92" s="59" t="s">
        <v>160</v>
      </c>
    </row>
    <row r="93" spans="2:13" x14ac:dyDescent="0.25">
      <c r="B93" s="41" t="str">
        <f>IF(C93&lt;&gt;"","3.6.8","")</f>
        <v>3.6.8</v>
      </c>
      <c r="C93" s="51" t="s">
        <v>25</v>
      </c>
      <c r="D93" s="51" t="s">
        <v>9</v>
      </c>
      <c r="E93" s="51" t="s">
        <v>19</v>
      </c>
      <c r="F93" s="51">
        <v>6</v>
      </c>
      <c r="G93" s="51">
        <v>80</v>
      </c>
      <c r="H93" s="45">
        <f t="shared" si="5"/>
        <v>480</v>
      </c>
      <c r="I93" s="59" t="s">
        <v>161</v>
      </c>
    </row>
    <row r="94" spans="2:13" x14ac:dyDescent="0.25">
      <c r="B94" s="41" t="str">
        <f>IF(C94&lt;&gt;"","3.6.9","")</f>
        <v>3.6.9</v>
      </c>
      <c r="C94" s="51" t="s">
        <v>27</v>
      </c>
      <c r="D94" s="51" t="s">
        <v>9</v>
      </c>
      <c r="E94" s="51" t="s">
        <v>19</v>
      </c>
      <c r="F94" s="51">
        <v>9</v>
      </c>
      <c r="G94" s="51">
        <v>90</v>
      </c>
      <c r="H94" s="45">
        <f t="shared" si="5"/>
        <v>810</v>
      </c>
      <c r="I94" s="59" t="s">
        <v>162</v>
      </c>
    </row>
    <row r="95" spans="2:13" ht="15.75" thickBot="1" x14ac:dyDescent="0.3">
      <c r="B95" s="42" t="str">
        <f>IF(C95&lt;&gt;"","3.6.10","")</f>
        <v>3.6.10</v>
      </c>
      <c r="C95" s="52" t="s">
        <v>28</v>
      </c>
      <c r="D95" s="52" t="s">
        <v>9</v>
      </c>
      <c r="E95" s="52" t="s">
        <v>19</v>
      </c>
      <c r="F95" s="52">
        <v>7</v>
      </c>
      <c r="G95" s="52">
        <v>110</v>
      </c>
      <c r="H95" s="48">
        <f t="shared" si="5"/>
        <v>770</v>
      </c>
      <c r="I95" s="60" t="s">
        <v>163</v>
      </c>
    </row>
    <row r="96" spans="2:13" ht="15.75" thickBot="1" x14ac:dyDescent="0.3">
      <c r="B96" s="5"/>
      <c r="C96" s="5"/>
      <c r="D96" s="5"/>
      <c r="E96" s="5"/>
      <c r="F96" s="5"/>
      <c r="G96" s="5"/>
      <c r="H96" s="5"/>
      <c r="I96" s="5"/>
    </row>
    <row r="97" spans="2:9" ht="19.5" thickBot="1" x14ac:dyDescent="0.35">
      <c r="B97" s="118" t="str">
        <f>IF('Etap 3'!$C$12&lt;&gt;"",B12&amp;": "&amp;  'Etap 3'!$C$12,"")</f>
        <v>3.7: Zadanie P3.7</v>
      </c>
      <c r="C97" s="119"/>
      <c r="D97" s="119"/>
      <c r="E97" s="119"/>
      <c r="F97" s="119"/>
      <c r="G97" s="119"/>
      <c r="H97" s="119"/>
      <c r="I97" s="120"/>
    </row>
    <row r="98" spans="2:9" x14ac:dyDescent="0.25">
      <c r="B98" s="6" t="s">
        <v>1</v>
      </c>
      <c r="C98" s="7" t="s">
        <v>16</v>
      </c>
      <c r="D98" s="7" t="s">
        <v>3</v>
      </c>
      <c r="E98" s="7" t="s">
        <v>4</v>
      </c>
      <c r="F98" s="7" t="s">
        <v>15</v>
      </c>
      <c r="G98" s="7" t="s">
        <v>5</v>
      </c>
      <c r="H98" s="7" t="s">
        <v>6</v>
      </c>
      <c r="I98" s="8" t="s">
        <v>7</v>
      </c>
    </row>
    <row r="99" spans="2:9" x14ac:dyDescent="0.25">
      <c r="B99" s="41" t="str">
        <f>IF(C99&lt;&gt;"","3.7.1","")</f>
        <v>3.7.1</v>
      </c>
      <c r="C99" s="51" t="s">
        <v>17</v>
      </c>
      <c r="D99" s="51" t="s">
        <v>10</v>
      </c>
      <c r="E99" s="51" t="s">
        <v>19</v>
      </c>
      <c r="F99" s="51">
        <v>5</v>
      </c>
      <c r="G99" s="51">
        <v>50</v>
      </c>
      <c r="H99" s="45">
        <f t="shared" ref="H99:H108" si="6">IF(C99&lt;&gt;"",F99*G99,"")</f>
        <v>250</v>
      </c>
      <c r="I99" s="59" t="s">
        <v>154</v>
      </c>
    </row>
    <row r="100" spans="2:9" x14ac:dyDescent="0.25">
      <c r="B100" s="41" t="str">
        <f>IF(C100&lt;&gt;"","3.7.2","")</f>
        <v>3.7.2</v>
      </c>
      <c r="C100" s="51" t="s">
        <v>20</v>
      </c>
      <c r="D100" s="51" t="s">
        <v>11</v>
      </c>
      <c r="E100" s="51" t="s">
        <v>13</v>
      </c>
      <c r="F100" s="51">
        <v>8</v>
      </c>
      <c r="G100" s="51">
        <v>20</v>
      </c>
      <c r="H100" s="45">
        <f t="shared" si="6"/>
        <v>160</v>
      </c>
      <c r="I100" s="59" t="s">
        <v>155</v>
      </c>
    </row>
    <row r="101" spans="2:9" x14ac:dyDescent="0.25">
      <c r="B101" s="41" t="str">
        <f>IF(C101&lt;&gt;"","3.7.3","")</f>
        <v>3.7.3</v>
      </c>
      <c r="C101" s="51" t="s">
        <v>21</v>
      </c>
      <c r="D101" s="51" t="s">
        <v>9</v>
      </c>
      <c r="E101" s="51" t="s">
        <v>19</v>
      </c>
      <c r="F101" s="51">
        <v>5</v>
      </c>
      <c r="G101" s="51">
        <v>8</v>
      </c>
      <c r="H101" s="45">
        <f t="shared" si="6"/>
        <v>40</v>
      </c>
      <c r="I101" s="59" t="s">
        <v>156</v>
      </c>
    </row>
    <row r="102" spans="2:9" x14ac:dyDescent="0.25">
      <c r="B102" s="41" t="str">
        <f>IF(C102&lt;&gt;"","3.7.4","")</f>
        <v>3.7.4</v>
      </c>
      <c r="C102" s="51" t="s">
        <v>22</v>
      </c>
      <c r="D102" s="51" t="s">
        <v>9</v>
      </c>
      <c r="E102" s="51" t="s">
        <v>19</v>
      </c>
      <c r="F102" s="51">
        <v>8</v>
      </c>
      <c r="G102" s="51">
        <v>12</v>
      </c>
      <c r="H102" s="45">
        <f t="shared" si="6"/>
        <v>96</v>
      </c>
      <c r="I102" s="59" t="s">
        <v>157</v>
      </c>
    </row>
    <row r="103" spans="2:9" x14ac:dyDescent="0.25">
      <c r="B103" s="41" t="str">
        <f>IF(C103&lt;&gt;"","3.7.5","")</f>
        <v>3.7.5</v>
      </c>
      <c r="C103" s="51" t="s">
        <v>23</v>
      </c>
      <c r="D103" s="51" t="s">
        <v>9</v>
      </c>
      <c r="E103" s="51" t="s">
        <v>19</v>
      </c>
      <c r="F103" s="51">
        <v>3</v>
      </c>
      <c r="G103" s="51">
        <v>16</v>
      </c>
      <c r="H103" s="45">
        <f t="shared" si="6"/>
        <v>48</v>
      </c>
      <c r="I103" s="59" t="s">
        <v>158</v>
      </c>
    </row>
    <row r="104" spans="2:9" x14ac:dyDescent="0.25">
      <c r="B104" s="41" t="str">
        <f>IF(C104&lt;&gt;"","3.7.6","")</f>
        <v>3.7.6</v>
      </c>
      <c r="C104" s="51" t="s">
        <v>24</v>
      </c>
      <c r="D104" s="51" t="s">
        <v>9</v>
      </c>
      <c r="E104" s="51" t="s">
        <v>19</v>
      </c>
      <c r="F104" s="51">
        <v>4</v>
      </c>
      <c r="G104" s="51">
        <v>8</v>
      </c>
      <c r="H104" s="45">
        <f t="shared" si="6"/>
        <v>32</v>
      </c>
      <c r="I104" s="59" t="s">
        <v>159</v>
      </c>
    </row>
    <row r="105" spans="2:9" x14ac:dyDescent="0.25">
      <c r="B105" s="41" t="str">
        <f>IF(C105&lt;&gt;"","3.7.7","")</f>
        <v>3.7.7</v>
      </c>
      <c r="C105" s="51" t="s">
        <v>26</v>
      </c>
      <c r="D105" s="51" t="s">
        <v>9</v>
      </c>
      <c r="E105" s="51" t="s">
        <v>19</v>
      </c>
      <c r="F105" s="51">
        <v>2</v>
      </c>
      <c r="G105" s="51">
        <v>55</v>
      </c>
      <c r="H105" s="45">
        <f t="shared" si="6"/>
        <v>110</v>
      </c>
      <c r="I105" s="59" t="s">
        <v>160</v>
      </c>
    </row>
    <row r="106" spans="2:9" x14ac:dyDescent="0.25">
      <c r="B106" s="41" t="str">
        <f>IF(C106&lt;&gt;"","3.7.8","")</f>
        <v>3.7.8</v>
      </c>
      <c r="C106" s="51" t="s">
        <v>25</v>
      </c>
      <c r="D106" s="51" t="s">
        <v>9</v>
      </c>
      <c r="E106" s="51" t="s">
        <v>19</v>
      </c>
      <c r="F106" s="51">
        <v>6</v>
      </c>
      <c r="G106" s="51">
        <v>80</v>
      </c>
      <c r="H106" s="45">
        <f t="shared" si="6"/>
        <v>480</v>
      </c>
      <c r="I106" s="59" t="s">
        <v>161</v>
      </c>
    </row>
    <row r="107" spans="2:9" x14ac:dyDescent="0.25">
      <c r="B107" s="41" t="str">
        <f>IF(C107&lt;&gt;"","3.7.9","")</f>
        <v>3.7.9</v>
      </c>
      <c r="C107" s="51" t="s">
        <v>27</v>
      </c>
      <c r="D107" s="51" t="s">
        <v>9</v>
      </c>
      <c r="E107" s="51" t="s">
        <v>19</v>
      </c>
      <c r="F107" s="51">
        <v>9</v>
      </c>
      <c r="G107" s="51">
        <v>90</v>
      </c>
      <c r="H107" s="45">
        <f t="shared" si="6"/>
        <v>810</v>
      </c>
      <c r="I107" s="59" t="s">
        <v>162</v>
      </c>
    </row>
    <row r="108" spans="2:9" ht="15.75" thickBot="1" x14ac:dyDescent="0.3">
      <c r="B108" s="42" t="str">
        <f>IF(C108&lt;&gt;"","3.7.10","")</f>
        <v>3.7.10</v>
      </c>
      <c r="C108" s="52" t="s">
        <v>28</v>
      </c>
      <c r="D108" s="52" t="s">
        <v>9</v>
      </c>
      <c r="E108" s="52" t="s">
        <v>19</v>
      </c>
      <c r="F108" s="52">
        <v>7</v>
      </c>
      <c r="G108" s="52">
        <v>110</v>
      </c>
      <c r="H108" s="48">
        <f t="shared" si="6"/>
        <v>770</v>
      </c>
      <c r="I108" s="60" t="s">
        <v>163</v>
      </c>
    </row>
    <row r="109" spans="2:9" ht="15.75" thickBot="1" x14ac:dyDescent="0.3">
      <c r="B109" s="5"/>
      <c r="C109" s="5"/>
      <c r="D109" s="5"/>
      <c r="E109" s="5"/>
      <c r="F109" s="5"/>
      <c r="G109" s="5"/>
      <c r="H109" s="5"/>
      <c r="I109" s="5"/>
    </row>
    <row r="110" spans="2:9" ht="19.5" thickBot="1" x14ac:dyDescent="0.35">
      <c r="B110" s="118" t="str">
        <f>IF('Etap 3'!$C$13&lt;&gt;"", B13&amp;": "&amp;  'Etap 3'!$C$13,"")</f>
        <v>3.8: Zadanie P3.8</v>
      </c>
      <c r="C110" s="119"/>
      <c r="D110" s="119"/>
      <c r="E110" s="119"/>
      <c r="F110" s="119"/>
      <c r="G110" s="119"/>
      <c r="H110" s="119"/>
      <c r="I110" s="120"/>
    </row>
    <row r="111" spans="2:9" x14ac:dyDescent="0.25">
      <c r="B111" s="6" t="s">
        <v>1</v>
      </c>
      <c r="C111" s="7" t="s">
        <v>16</v>
      </c>
      <c r="D111" s="7" t="s">
        <v>3</v>
      </c>
      <c r="E111" s="7" t="s">
        <v>4</v>
      </c>
      <c r="F111" s="7" t="s">
        <v>15</v>
      </c>
      <c r="G111" s="7" t="s">
        <v>5</v>
      </c>
      <c r="H111" s="7" t="s">
        <v>6</v>
      </c>
      <c r="I111" s="8" t="s">
        <v>7</v>
      </c>
    </row>
    <row r="112" spans="2:9" x14ac:dyDescent="0.25">
      <c r="B112" s="41" t="str">
        <f>IF(C112&lt;&gt;"","3.8.1","")</f>
        <v>3.8.1</v>
      </c>
      <c r="C112" s="51" t="s">
        <v>17</v>
      </c>
      <c r="D112" s="51" t="s">
        <v>10</v>
      </c>
      <c r="E112" s="51" t="s">
        <v>19</v>
      </c>
      <c r="F112" s="51">
        <v>5</v>
      </c>
      <c r="G112" s="51">
        <v>50</v>
      </c>
      <c r="H112" s="45">
        <f t="shared" ref="H112:H121" si="7">IF(C112&lt;&gt;"",F112*G112,"")</f>
        <v>250</v>
      </c>
      <c r="I112" s="59" t="s">
        <v>154</v>
      </c>
    </row>
    <row r="113" spans="2:9" x14ac:dyDescent="0.25">
      <c r="B113" s="41" t="str">
        <f>IF(C113&lt;&gt;"","3.8.2","")</f>
        <v>3.8.2</v>
      </c>
      <c r="C113" s="51" t="s">
        <v>20</v>
      </c>
      <c r="D113" s="51" t="s">
        <v>11</v>
      </c>
      <c r="E113" s="51" t="s">
        <v>13</v>
      </c>
      <c r="F113" s="51">
        <v>8</v>
      </c>
      <c r="G113" s="51">
        <v>20</v>
      </c>
      <c r="H113" s="45">
        <f t="shared" si="7"/>
        <v>160</v>
      </c>
      <c r="I113" s="59" t="s">
        <v>155</v>
      </c>
    </row>
    <row r="114" spans="2:9" x14ac:dyDescent="0.25">
      <c r="B114" s="41" t="str">
        <f>IF(C114&lt;&gt;"","3.8.3","")</f>
        <v>3.8.3</v>
      </c>
      <c r="C114" s="51" t="s">
        <v>21</v>
      </c>
      <c r="D114" s="51" t="s">
        <v>9</v>
      </c>
      <c r="E114" s="51" t="s">
        <v>19</v>
      </c>
      <c r="F114" s="51">
        <v>5</v>
      </c>
      <c r="G114" s="51">
        <v>8</v>
      </c>
      <c r="H114" s="45">
        <f t="shared" si="7"/>
        <v>40</v>
      </c>
      <c r="I114" s="59" t="s">
        <v>156</v>
      </c>
    </row>
    <row r="115" spans="2:9" x14ac:dyDescent="0.25">
      <c r="B115" s="41" t="str">
        <f>IF(C115&lt;&gt;"","3.8.4","")</f>
        <v>3.8.4</v>
      </c>
      <c r="C115" s="51" t="s">
        <v>22</v>
      </c>
      <c r="D115" s="51" t="s">
        <v>9</v>
      </c>
      <c r="E115" s="51" t="s">
        <v>19</v>
      </c>
      <c r="F115" s="51">
        <v>8</v>
      </c>
      <c r="G115" s="51">
        <v>12</v>
      </c>
      <c r="H115" s="45">
        <f t="shared" si="7"/>
        <v>96</v>
      </c>
      <c r="I115" s="59" t="s">
        <v>157</v>
      </c>
    </row>
    <row r="116" spans="2:9" x14ac:dyDescent="0.25">
      <c r="B116" s="41" t="str">
        <f>IF(C116&lt;&gt;"","3.8.5","")</f>
        <v>3.8.5</v>
      </c>
      <c r="C116" s="51" t="s">
        <v>23</v>
      </c>
      <c r="D116" s="51" t="s">
        <v>9</v>
      </c>
      <c r="E116" s="51" t="s">
        <v>19</v>
      </c>
      <c r="F116" s="51">
        <v>3</v>
      </c>
      <c r="G116" s="51">
        <v>16</v>
      </c>
      <c r="H116" s="45">
        <f t="shared" si="7"/>
        <v>48</v>
      </c>
      <c r="I116" s="59" t="s">
        <v>158</v>
      </c>
    </row>
    <row r="117" spans="2:9" x14ac:dyDescent="0.25">
      <c r="B117" s="41" t="str">
        <f>IF(C117&lt;&gt;"","3.8.6","")</f>
        <v>3.8.6</v>
      </c>
      <c r="C117" s="51" t="s">
        <v>24</v>
      </c>
      <c r="D117" s="51" t="s">
        <v>9</v>
      </c>
      <c r="E117" s="51" t="s">
        <v>19</v>
      </c>
      <c r="F117" s="51">
        <v>4</v>
      </c>
      <c r="G117" s="51">
        <v>8</v>
      </c>
      <c r="H117" s="45">
        <f t="shared" si="7"/>
        <v>32</v>
      </c>
      <c r="I117" s="59" t="s">
        <v>159</v>
      </c>
    </row>
    <row r="118" spans="2:9" x14ac:dyDescent="0.25">
      <c r="B118" s="41" t="str">
        <f>IF(C118&lt;&gt;"","3.8.7","")</f>
        <v>3.8.7</v>
      </c>
      <c r="C118" s="51" t="s">
        <v>26</v>
      </c>
      <c r="D118" s="51" t="s">
        <v>9</v>
      </c>
      <c r="E118" s="51" t="s">
        <v>19</v>
      </c>
      <c r="F118" s="51">
        <v>2</v>
      </c>
      <c r="G118" s="51">
        <v>55</v>
      </c>
      <c r="H118" s="45">
        <f t="shared" si="7"/>
        <v>110</v>
      </c>
      <c r="I118" s="59" t="s">
        <v>160</v>
      </c>
    </row>
    <row r="119" spans="2:9" x14ac:dyDescent="0.25">
      <c r="B119" s="41" t="str">
        <f>IF(C119&lt;&gt;"","3.8.8","")</f>
        <v>3.8.8</v>
      </c>
      <c r="C119" s="51" t="s">
        <v>25</v>
      </c>
      <c r="D119" s="51" t="s">
        <v>9</v>
      </c>
      <c r="E119" s="51" t="s">
        <v>19</v>
      </c>
      <c r="F119" s="51">
        <v>6</v>
      </c>
      <c r="G119" s="51">
        <v>80</v>
      </c>
      <c r="H119" s="45">
        <f t="shared" si="7"/>
        <v>480</v>
      </c>
      <c r="I119" s="59" t="s">
        <v>161</v>
      </c>
    </row>
    <row r="120" spans="2:9" x14ac:dyDescent="0.25">
      <c r="B120" s="41" t="str">
        <f>IF(C120&lt;&gt;"","3.8.9","")</f>
        <v>3.8.9</v>
      </c>
      <c r="C120" s="51" t="s">
        <v>27</v>
      </c>
      <c r="D120" s="51" t="s">
        <v>9</v>
      </c>
      <c r="E120" s="51" t="s">
        <v>19</v>
      </c>
      <c r="F120" s="51">
        <v>9</v>
      </c>
      <c r="G120" s="51">
        <v>90</v>
      </c>
      <c r="H120" s="45">
        <f t="shared" si="7"/>
        <v>810</v>
      </c>
      <c r="I120" s="59" t="s">
        <v>162</v>
      </c>
    </row>
    <row r="121" spans="2:9" ht="15.75" thickBot="1" x14ac:dyDescent="0.3">
      <c r="B121" s="42" t="str">
        <f>IF(C121&lt;&gt;"","3.8.10","")</f>
        <v>3.8.10</v>
      </c>
      <c r="C121" s="52" t="s">
        <v>28</v>
      </c>
      <c r="D121" s="52" t="s">
        <v>9</v>
      </c>
      <c r="E121" s="52" t="s">
        <v>19</v>
      </c>
      <c r="F121" s="52">
        <v>7</v>
      </c>
      <c r="G121" s="52">
        <v>110</v>
      </c>
      <c r="H121" s="48">
        <f t="shared" si="7"/>
        <v>770</v>
      </c>
      <c r="I121" s="60" t="s">
        <v>163</v>
      </c>
    </row>
    <row r="122" spans="2:9" ht="15.75" thickBot="1" x14ac:dyDescent="0.3">
      <c r="B122" s="5"/>
      <c r="C122" s="5"/>
      <c r="D122" s="5"/>
      <c r="E122" s="5"/>
      <c r="F122" s="5"/>
      <c r="G122" s="5"/>
      <c r="H122" s="5"/>
      <c r="I122" s="5"/>
    </row>
    <row r="123" spans="2:9" ht="19.5" thickBot="1" x14ac:dyDescent="0.35">
      <c r="B123" s="118" t="str">
        <f>IF('Etap 3'!$C$14&lt;&gt;"",B14&amp;": "&amp;  'Etap 3'!$C$14,"")</f>
        <v>3.9: Zadanie P3.9</v>
      </c>
      <c r="C123" s="119"/>
      <c r="D123" s="119"/>
      <c r="E123" s="119"/>
      <c r="F123" s="119"/>
      <c r="G123" s="119"/>
      <c r="H123" s="119"/>
      <c r="I123" s="120"/>
    </row>
    <row r="124" spans="2:9" x14ac:dyDescent="0.25">
      <c r="B124" s="6" t="s">
        <v>1</v>
      </c>
      <c r="C124" s="7" t="s">
        <v>16</v>
      </c>
      <c r="D124" s="7" t="s">
        <v>3</v>
      </c>
      <c r="E124" s="7" t="s">
        <v>4</v>
      </c>
      <c r="F124" s="7" t="s">
        <v>15</v>
      </c>
      <c r="G124" s="7" t="s">
        <v>5</v>
      </c>
      <c r="H124" s="7" t="s">
        <v>6</v>
      </c>
      <c r="I124" s="8" t="s">
        <v>7</v>
      </c>
    </row>
    <row r="125" spans="2:9" x14ac:dyDescent="0.25">
      <c r="B125" s="41" t="str">
        <f>IF(C125&lt;&gt;"","3.9.1","")</f>
        <v>3.9.1</v>
      </c>
      <c r="C125" s="51" t="s">
        <v>17</v>
      </c>
      <c r="D125" s="51" t="s">
        <v>10</v>
      </c>
      <c r="E125" s="51" t="s">
        <v>19</v>
      </c>
      <c r="F125" s="51">
        <v>5</v>
      </c>
      <c r="G125" s="51">
        <v>50</v>
      </c>
      <c r="H125" s="45">
        <f t="shared" ref="H125:H134" si="8">IF(C125&lt;&gt;"",F125*G125,"")</f>
        <v>250</v>
      </c>
      <c r="I125" s="59" t="s">
        <v>154</v>
      </c>
    </row>
    <row r="126" spans="2:9" x14ac:dyDescent="0.25">
      <c r="B126" s="41" t="str">
        <f>IF(C126&lt;&gt;"","3.9.2","")</f>
        <v>3.9.2</v>
      </c>
      <c r="C126" s="51" t="s">
        <v>20</v>
      </c>
      <c r="D126" s="51" t="s">
        <v>11</v>
      </c>
      <c r="E126" s="51" t="s">
        <v>13</v>
      </c>
      <c r="F126" s="51">
        <v>8</v>
      </c>
      <c r="G126" s="51">
        <v>20</v>
      </c>
      <c r="H126" s="45">
        <f t="shared" si="8"/>
        <v>160</v>
      </c>
      <c r="I126" s="59" t="s">
        <v>155</v>
      </c>
    </row>
    <row r="127" spans="2:9" x14ac:dyDescent="0.25">
      <c r="B127" s="41" t="str">
        <f>IF(C127&lt;&gt;"","3.9.3","")</f>
        <v>3.9.3</v>
      </c>
      <c r="C127" s="51" t="s">
        <v>21</v>
      </c>
      <c r="D127" s="51" t="s">
        <v>9</v>
      </c>
      <c r="E127" s="51" t="s">
        <v>19</v>
      </c>
      <c r="F127" s="51">
        <v>5</v>
      </c>
      <c r="G127" s="51">
        <v>8</v>
      </c>
      <c r="H127" s="45">
        <f t="shared" si="8"/>
        <v>40</v>
      </c>
      <c r="I127" s="59" t="s">
        <v>156</v>
      </c>
    </row>
    <row r="128" spans="2:9" x14ac:dyDescent="0.25">
      <c r="B128" s="41" t="str">
        <f>IF(C128&lt;&gt;"","3.9.4","")</f>
        <v>3.9.4</v>
      </c>
      <c r="C128" s="51" t="s">
        <v>22</v>
      </c>
      <c r="D128" s="51" t="s">
        <v>9</v>
      </c>
      <c r="E128" s="51" t="s">
        <v>19</v>
      </c>
      <c r="F128" s="51">
        <v>8</v>
      </c>
      <c r="G128" s="51">
        <v>12</v>
      </c>
      <c r="H128" s="45">
        <f t="shared" si="8"/>
        <v>96</v>
      </c>
      <c r="I128" s="59" t="s">
        <v>157</v>
      </c>
    </row>
    <row r="129" spans="2:9" x14ac:dyDescent="0.25">
      <c r="B129" s="41" t="str">
        <f>IF(C129&lt;&gt;"","3.9.5","")</f>
        <v>3.9.5</v>
      </c>
      <c r="C129" s="51" t="s">
        <v>23</v>
      </c>
      <c r="D129" s="51" t="s">
        <v>9</v>
      </c>
      <c r="E129" s="51" t="s">
        <v>19</v>
      </c>
      <c r="F129" s="51">
        <v>3</v>
      </c>
      <c r="G129" s="51">
        <v>16</v>
      </c>
      <c r="H129" s="45">
        <f t="shared" si="8"/>
        <v>48</v>
      </c>
      <c r="I129" s="59" t="s">
        <v>158</v>
      </c>
    </row>
    <row r="130" spans="2:9" x14ac:dyDescent="0.25">
      <c r="B130" s="41" t="str">
        <f>IF(C130&lt;&gt;"","3.9.6","")</f>
        <v>3.9.6</v>
      </c>
      <c r="C130" s="51" t="s">
        <v>24</v>
      </c>
      <c r="D130" s="51" t="s">
        <v>9</v>
      </c>
      <c r="E130" s="51" t="s">
        <v>19</v>
      </c>
      <c r="F130" s="51">
        <v>4</v>
      </c>
      <c r="G130" s="51">
        <v>8</v>
      </c>
      <c r="H130" s="45">
        <f t="shared" si="8"/>
        <v>32</v>
      </c>
      <c r="I130" s="59" t="s">
        <v>159</v>
      </c>
    </row>
    <row r="131" spans="2:9" x14ac:dyDescent="0.25">
      <c r="B131" s="41" t="str">
        <f>IF(C131&lt;&gt;"","3.9.7","")</f>
        <v>3.9.7</v>
      </c>
      <c r="C131" s="51" t="s">
        <v>26</v>
      </c>
      <c r="D131" s="51" t="s">
        <v>9</v>
      </c>
      <c r="E131" s="51" t="s">
        <v>19</v>
      </c>
      <c r="F131" s="51">
        <v>2</v>
      </c>
      <c r="G131" s="51">
        <v>55</v>
      </c>
      <c r="H131" s="45">
        <f t="shared" si="8"/>
        <v>110</v>
      </c>
      <c r="I131" s="59" t="s">
        <v>160</v>
      </c>
    </row>
    <row r="132" spans="2:9" x14ac:dyDescent="0.25">
      <c r="B132" s="41" t="str">
        <f>IF(C132&lt;&gt;"","3.9.8","")</f>
        <v>3.9.8</v>
      </c>
      <c r="C132" s="51" t="s">
        <v>25</v>
      </c>
      <c r="D132" s="51" t="s">
        <v>9</v>
      </c>
      <c r="E132" s="51" t="s">
        <v>19</v>
      </c>
      <c r="F132" s="51">
        <v>6</v>
      </c>
      <c r="G132" s="51">
        <v>80</v>
      </c>
      <c r="H132" s="45">
        <f t="shared" si="8"/>
        <v>480</v>
      </c>
      <c r="I132" s="59" t="s">
        <v>161</v>
      </c>
    </row>
    <row r="133" spans="2:9" x14ac:dyDescent="0.25">
      <c r="B133" s="41" t="str">
        <f>IF(C133&lt;&gt;"","3.9.9","")</f>
        <v>3.9.9</v>
      </c>
      <c r="C133" s="51" t="s">
        <v>27</v>
      </c>
      <c r="D133" s="51" t="s">
        <v>9</v>
      </c>
      <c r="E133" s="51" t="s">
        <v>19</v>
      </c>
      <c r="F133" s="51">
        <v>9</v>
      </c>
      <c r="G133" s="51">
        <v>90</v>
      </c>
      <c r="H133" s="45">
        <f t="shared" si="8"/>
        <v>810</v>
      </c>
      <c r="I133" s="59" t="s">
        <v>162</v>
      </c>
    </row>
    <row r="134" spans="2:9" ht="15.75" thickBot="1" x14ac:dyDescent="0.3">
      <c r="B134" s="42" t="str">
        <f>IF(C134&lt;&gt;"","3.9.10","")</f>
        <v>3.9.10</v>
      </c>
      <c r="C134" s="52" t="s">
        <v>28</v>
      </c>
      <c r="D134" s="52" t="s">
        <v>9</v>
      </c>
      <c r="E134" s="52" t="s">
        <v>19</v>
      </c>
      <c r="F134" s="52">
        <v>7</v>
      </c>
      <c r="G134" s="52">
        <v>110</v>
      </c>
      <c r="H134" s="48">
        <f t="shared" si="8"/>
        <v>770</v>
      </c>
      <c r="I134" s="60" t="s">
        <v>163</v>
      </c>
    </row>
    <row r="135" spans="2:9" ht="15.75" thickBot="1" x14ac:dyDescent="0.3">
      <c r="B135" s="5"/>
      <c r="C135" s="5"/>
      <c r="D135" s="5"/>
      <c r="E135" s="5"/>
      <c r="F135" s="5"/>
      <c r="G135" s="5"/>
      <c r="H135" s="5"/>
      <c r="I135" s="5"/>
    </row>
    <row r="136" spans="2:9" ht="19.5" thickBot="1" x14ac:dyDescent="0.35">
      <c r="B136" s="118" t="str">
        <f>IF('Etap 3'!$C$15&lt;&gt;"",B15&amp;": "&amp;  'Etap 3'!$C$15,"")</f>
        <v>3.10: Zadanie P3.10</v>
      </c>
      <c r="C136" s="119"/>
      <c r="D136" s="119"/>
      <c r="E136" s="119"/>
      <c r="F136" s="119"/>
      <c r="G136" s="119"/>
      <c r="H136" s="119"/>
      <c r="I136" s="120"/>
    </row>
    <row r="137" spans="2:9" x14ac:dyDescent="0.25">
      <c r="B137" s="6" t="s">
        <v>1</v>
      </c>
      <c r="C137" s="7" t="s">
        <v>16</v>
      </c>
      <c r="D137" s="7" t="s">
        <v>3</v>
      </c>
      <c r="E137" s="7" t="s">
        <v>4</v>
      </c>
      <c r="F137" s="7" t="s">
        <v>15</v>
      </c>
      <c r="G137" s="7" t="s">
        <v>5</v>
      </c>
      <c r="H137" s="7" t="s">
        <v>6</v>
      </c>
      <c r="I137" s="8" t="s">
        <v>7</v>
      </c>
    </row>
    <row r="138" spans="2:9" x14ac:dyDescent="0.25">
      <c r="B138" s="41" t="str">
        <f>IF(C138&lt;&gt;"","3.10.1","")</f>
        <v>3.10.1</v>
      </c>
      <c r="C138" s="51" t="s">
        <v>17</v>
      </c>
      <c r="D138" s="51" t="s">
        <v>10</v>
      </c>
      <c r="E138" s="51" t="s">
        <v>19</v>
      </c>
      <c r="F138" s="51">
        <v>5</v>
      </c>
      <c r="G138" s="51">
        <v>50</v>
      </c>
      <c r="H138" s="45">
        <f t="shared" ref="H138:H147" si="9">IF(C138&lt;&gt;"",F138*G138,"")</f>
        <v>250</v>
      </c>
      <c r="I138" s="59" t="s">
        <v>154</v>
      </c>
    </row>
    <row r="139" spans="2:9" x14ac:dyDescent="0.25">
      <c r="B139" s="41" t="str">
        <f>IF(C139&lt;&gt;"","3.10.2","")</f>
        <v>3.10.2</v>
      </c>
      <c r="C139" s="51" t="s">
        <v>20</v>
      </c>
      <c r="D139" s="51" t="s">
        <v>11</v>
      </c>
      <c r="E139" s="51" t="s">
        <v>13</v>
      </c>
      <c r="F139" s="51">
        <v>8</v>
      </c>
      <c r="G139" s="51">
        <v>20</v>
      </c>
      <c r="H139" s="45">
        <f t="shared" si="9"/>
        <v>160</v>
      </c>
      <c r="I139" s="59" t="s">
        <v>155</v>
      </c>
    </row>
    <row r="140" spans="2:9" x14ac:dyDescent="0.25">
      <c r="B140" s="41" t="str">
        <f>IF(C140&lt;&gt;"","3.10.3","")</f>
        <v>3.10.3</v>
      </c>
      <c r="C140" s="51" t="s">
        <v>21</v>
      </c>
      <c r="D140" s="51" t="s">
        <v>9</v>
      </c>
      <c r="E140" s="51" t="s">
        <v>19</v>
      </c>
      <c r="F140" s="51">
        <v>5</v>
      </c>
      <c r="G140" s="51">
        <v>8</v>
      </c>
      <c r="H140" s="45">
        <f t="shared" si="9"/>
        <v>40</v>
      </c>
      <c r="I140" s="59" t="s">
        <v>156</v>
      </c>
    </row>
    <row r="141" spans="2:9" x14ac:dyDescent="0.25">
      <c r="B141" s="41" t="str">
        <f>IF(C141&lt;&gt;"","3.10.4","")</f>
        <v>3.10.4</v>
      </c>
      <c r="C141" s="51" t="s">
        <v>22</v>
      </c>
      <c r="D141" s="51" t="s">
        <v>9</v>
      </c>
      <c r="E141" s="51" t="s">
        <v>19</v>
      </c>
      <c r="F141" s="51">
        <v>8</v>
      </c>
      <c r="G141" s="51">
        <v>12</v>
      </c>
      <c r="H141" s="45">
        <f t="shared" si="9"/>
        <v>96</v>
      </c>
      <c r="I141" s="59" t="s">
        <v>157</v>
      </c>
    </row>
    <row r="142" spans="2:9" x14ac:dyDescent="0.25">
      <c r="B142" s="41" t="str">
        <f>IF(C142&lt;&gt;"","3.10.5","")</f>
        <v>3.10.5</v>
      </c>
      <c r="C142" s="51" t="s">
        <v>23</v>
      </c>
      <c r="D142" s="51" t="s">
        <v>9</v>
      </c>
      <c r="E142" s="51" t="s">
        <v>19</v>
      </c>
      <c r="F142" s="51">
        <v>3</v>
      </c>
      <c r="G142" s="51">
        <v>16</v>
      </c>
      <c r="H142" s="45">
        <f t="shared" si="9"/>
        <v>48</v>
      </c>
      <c r="I142" s="59" t="s">
        <v>158</v>
      </c>
    </row>
    <row r="143" spans="2:9" x14ac:dyDescent="0.25">
      <c r="B143" s="41" t="str">
        <f>IF(C143&lt;&gt;"","3.10.6","")</f>
        <v>3.10.6</v>
      </c>
      <c r="C143" s="51" t="s">
        <v>24</v>
      </c>
      <c r="D143" s="51" t="s">
        <v>9</v>
      </c>
      <c r="E143" s="51" t="s">
        <v>19</v>
      </c>
      <c r="F143" s="51">
        <v>4</v>
      </c>
      <c r="G143" s="51">
        <v>8</v>
      </c>
      <c r="H143" s="45">
        <f t="shared" si="9"/>
        <v>32</v>
      </c>
      <c r="I143" s="59" t="s">
        <v>159</v>
      </c>
    </row>
    <row r="144" spans="2:9" x14ac:dyDescent="0.25">
      <c r="B144" s="41" t="str">
        <f>IF(C144&lt;&gt;"","3.10.7","")</f>
        <v>3.10.7</v>
      </c>
      <c r="C144" s="51" t="s">
        <v>26</v>
      </c>
      <c r="D144" s="51" t="s">
        <v>9</v>
      </c>
      <c r="E144" s="51" t="s">
        <v>19</v>
      </c>
      <c r="F144" s="51">
        <v>2</v>
      </c>
      <c r="G144" s="51">
        <v>55</v>
      </c>
      <c r="H144" s="45">
        <f t="shared" si="9"/>
        <v>110</v>
      </c>
      <c r="I144" s="59" t="s">
        <v>160</v>
      </c>
    </row>
    <row r="145" spans="2:9" x14ac:dyDescent="0.25">
      <c r="B145" s="41" t="str">
        <f>IF(C145&lt;&gt;"","3.10.8","")</f>
        <v>3.10.8</v>
      </c>
      <c r="C145" s="51" t="s">
        <v>25</v>
      </c>
      <c r="D145" s="51" t="s">
        <v>9</v>
      </c>
      <c r="E145" s="51" t="s">
        <v>19</v>
      </c>
      <c r="F145" s="51">
        <v>6</v>
      </c>
      <c r="G145" s="51">
        <v>80</v>
      </c>
      <c r="H145" s="45">
        <f t="shared" si="9"/>
        <v>480</v>
      </c>
      <c r="I145" s="59" t="s">
        <v>161</v>
      </c>
    </row>
    <row r="146" spans="2:9" x14ac:dyDescent="0.25">
      <c r="B146" s="41" t="str">
        <f>IF(C146&lt;&gt;"","3.10.9","")</f>
        <v>3.10.9</v>
      </c>
      <c r="C146" s="51" t="s">
        <v>27</v>
      </c>
      <c r="D146" s="51" t="s">
        <v>9</v>
      </c>
      <c r="E146" s="51" t="s">
        <v>19</v>
      </c>
      <c r="F146" s="51">
        <v>9</v>
      </c>
      <c r="G146" s="51">
        <v>90</v>
      </c>
      <c r="H146" s="45">
        <f t="shared" si="9"/>
        <v>810</v>
      </c>
      <c r="I146" s="59" t="s">
        <v>162</v>
      </c>
    </row>
    <row r="147" spans="2:9" ht="15.75" thickBot="1" x14ac:dyDescent="0.3">
      <c r="B147" s="42" t="str">
        <f>IF(C147&lt;&gt;"","3.10.10","")</f>
        <v>3.10.10</v>
      </c>
      <c r="C147" s="52" t="s">
        <v>28</v>
      </c>
      <c r="D147" s="52" t="s">
        <v>9</v>
      </c>
      <c r="E147" s="52" t="s">
        <v>19</v>
      </c>
      <c r="F147" s="52">
        <v>7</v>
      </c>
      <c r="G147" s="52">
        <v>110</v>
      </c>
      <c r="H147" s="48">
        <f t="shared" si="9"/>
        <v>770</v>
      </c>
      <c r="I147" s="60" t="s">
        <v>163</v>
      </c>
    </row>
  </sheetData>
  <mergeCells count="48">
    <mergeCell ref="K91:M91"/>
    <mergeCell ref="B4:I4"/>
    <mergeCell ref="K4:M4"/>
    <mergeCell ref="C5:F5"/>
    <mergeCell ref="B2:I2"/>
    <mergeCell ref="C9:F9"/>
    <mergeCell ref="C10:F10"/>
    <mergeCell ref="C11:F11"/>
    <mergeCell ref="C6:F6"/>
    <mergeCell ref="C7:F7"/>
    <mergeCell ref="C8:F8"/>
    <mergeCell ref="C15:F15"/>
    <mergeCell ref="B17:I17"/>
    <mergeCell ref="B19:I19"/>
    <mergeCell ref="C12:F12"/>
    <mergeCell ref="C13:F13"/>
    <mergeCell ref="C14:F14"/>
    <mergeCell ref="B32:I32"/>
    <mergeCell ref="K33:M33"/>
    <mergeCell ref="K35:K37"/>
    <mergeCell ref="L35:L37"/>
    <mergeCell ref="M35:M37"/>
    <mergeCell ref="K38:K40"/>
    <mergeCell ref="L38:L40"/>
    <mergeCell ref="M38:M40"/>
    <mergeCell ref="K41:K43"/>
    <mergeCell ref="L41:L43"/>
    <mergeCell ref="M41:M43"/>
    <mergeCell ref="K44:K46"/>
    <mergeCell ref="L44:L46"/>
    <mergeCell ref="M44:M46"/>
    <mergeCell ref="B45:I45"/>
    <mergeCell ref="B58:I58"/>
    <mergeCell ref="K50:M50"/>
    <mergeCell ref="B110:I110"/>
    <mergeCell ref="B123:I123"/>
    <mergeCell ref="B136:I136"/>
    <mergeCell ref="B71:I71"/>
    <mergeCell ref="B84:I84"/>
    <mergeCell ref="B97:I97"/>
    <mergeCell ref="K71:K80"/>
    <mergeCell ref="L71:M80"/>
    <mergeCell ref="K81:K90"/>
    <mergeCell ref="L81:M90"/>
    <mergeCell ref="K51:K60"/>
    <mergeCell ref="L51:M60"/>
    <mergeCell ref="K61:K70"/>
    <mergeCell ref="L61:M70"/>
  </mergeCells>
  <phoneticPr fontId="4" type="noConversion"/>
  <conditionalFormatting sqref="B19:I30">
    <cfRule type="expression" dxfId="10" priority="21">
      <formula>$B$19=""</formula>
    </cfRule>
  </conditionalFormatting>
  <conditionalFormatting sqref="B32:I43">
    <cfRule type="expression" dxfId="9" priority="20">
      <formula>$B$32=""</formula>
    </cfRule>
  </conditionalFormatting>
  <conditionalFormatting sqref="B45:I56">
    <cfRule type="expression" dxfId="8" priority="18">
      <formula>$C$8=""</formula>
    </cfRule>
    <cfRule type="expression" dxfId="7" priority="19">
      <formula>B45=""</formula>
    </cfRule>
  </conditionalFormatting>
  <conditionalFormatting sqref="B58:I69">
    <cfRule type="expression" dxfId="6" priority="17">
      <formula>$C$9=""</formula>
    </cfRule>
  </conditionalFormatting>
  <conditionalFormatting sqref="B71:I82">
    <cfRule type="expression" dxfId="5" priority="16">
      <formula>$C$10=""</formula>
    </cfRule>
  </conditionalFormatting>
  <conditionalFormatting sqref="B84:I95">
    <cfRule type="expression" dxfId="4" priority="15">
      <formula>$C$11=""</formula>
    </cfRule>
  </conditionalFormatting>
  <conditionalFormatting sqref="B97:I108">
    <cfRule type="expression" dxfId="3" priority="14">
      <formula>$C$12=""</formula>
    </cfRule>
  </conditionalFormatting>
  <conditionalFormatting sqref="B110:I121">
    <cfRule type="expression" dxfId="2" priority="13">
      <formula>$C$13=""</formula>
    </cfRule>
  </conditionalFormatting>
  <conditionalFormatting sqref="B123:I134">
    <cfRule type="expression" dxfId="1" priority="12">
      <formula>$C$14=""</formula>
    </cfRule>
  </conditionalFormatting>
  <conditionalFormatting sqref="B136:I147">
    <cfRule type="expression" dxfId="0" priority="11">
      <formula>$C$15=""</formula>
    </cfRule>
  </conditionalFormatting>
  <dataValidations count="1">
    <dataValidation type="decimal" operator="greaterThanOrEqual" allowBlank="1" showInputMessage="1" showErrorMessage="1" errorTitle="Błąd" error="Podaj liczbę" sqref="F21:G30 F138:G147 F34:G43 F47:G56 F60:G69 F73:G82 F86:G95 F99:G108 F112:G121 F125:G134" xr:uid="{FF040D3C-E067-4868-B681-523412DD8B6A}">
      <formula1>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errorTitle="Błąd" error="Nieznana kategoria wydatku" promptTitle="Wybierz z listy:" prompt="n/d_x000a_godzina_x000a_szt." xr:uid="{47D9B481-7A33-4894-B04D-B7F9CACA3583}">
          <x14:formula1>
            <xm:f>Robocze!$C$3:$C$9</xm:f>
          </x14:formula1>
          <xm:sqref>E138:E147 E21:E30 E34:E43 E47:E56 E60:E69 E73:E82 E86:E95 E99:E108 E112:E121 E125:E134</xm:sqref>
        </x14:dataValidation>
        <x14:dataValidation type="list" allowBlank="1" showInputMessage="1" showErrorMessage="1" errorTitle="Błąd" error="Nieznana kategoria wydatku" promptTitle="Wybierz z listy:" prompt="wynagrodzenia_x000a_usługi obce_x000a_materiały" xr:uid="{AD147FC3-9031-4E53-9023-65ADC78D87AE}">
          <x14:formula1>
            <xm:f>Robocze!$B$3:$B$6</xm:f>
          </x14:formula1>
          <xm:sqref>D138:D147 D21:D30 D34:D43 D47:D56 D60:D69 D73:D82 D86:D95 D99:D108 D112:D121 D125:D134</xm:sqref>
        </x14:dataValidation>
        <x14:dataValidation type="list" allowBlank="1" showInputMessage="1" showErrorMessage="1" errorTitle="Uwaga" error="Wybierz z listy" promptTitle="Uwaga" prompt="Wybierz z listy" xr:uid="{859DBE0B-4CB0-490E-98C9-2CF89220CBBC}">
          <x14:formula1>
            <xm:f>Robocze!$D$3:$D$5</xm:f>
          </x14:formula1>
          <xm:sqref>L35 L38 L41 L44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69"/>
  <sheetViews>
    <sheetView topLeftCell="A10" workbookViewId="0">
      <selection activeCell="D31" sqref="D31"/>
    </sheetView>
  </sheetViews>
  <sheetFormatPr defaultColWidth="9.140625" defaultRowHeight="15" x14ac:dyDescent="0.25"/>
  <cols>
    <col min="1" max="2" width="9.140625" style="2"/>
    <col min="3" max="3" width="14.28515625" style="2" bestFit="1" customWidth="1"/>
    <col min="4" max="4" width="47.140625" style="2" customWidth="1"/>
    <col min="5" max="5" width="10.5703125" style="2" customWidth="1"/>
    <col min="6" max="6" width="9.140625" style="2"/>
    <col min="7" max="7" width="11.28515625" style="2" bestFit="1" customWidth="1"/>
    <col min="8" max="8" width="65.5703125" style="2" customWidth="1"/>
    <col min="9" max="9" width="10.5703125" style="2" customWidth="1"/>
    <col min="10" max="16384" width="9.140625" style="2"/>
  </cols>
  <sheetData>
    <row r="1" spans="2:10" ht="15.75" thickBot="1" x14ac:dyDescent="0.3"/>
    <row r="2" spans="2:10" ht="21.75" thickBot="1" x14ac:dyDescent="0.4">
      <c r="B2" s="81"/>
      <c r="C2" s="169" t="s">
        <v>31</v>
      </c>
      <c r="D2" s="169"/>
      <c r="E2" s="169"/>
      <c r="F2" s="169"/>
      <c r="G2" s="169"/>
      <c r="H2" s="169"/>
      <c r="I2" s="169"/>
      <c r="J2" s="82"/>
    </row>
    <row r="3" spans="2:10" ht="12" customHeight="1" thickBot="1" x14ac:dyDescent="0.4">
      <c r="B3" s="63"/>
      <c r="C3" s="64"/>
      <c r="D3" s="64"/>
      <c r="E3" s="64"/>
      <c r="F3" s="64"/>
      <c r="G3" s="64"/>
      <c r="H3" s="64"/>
      <c r="I3" s="64"/>
      <c r="J3" s="65"/>
    </row>
    <row r="4" spans="2:10" x14ac:dyDescent="0.25">
      <c r="B4" s="63"/>
      <c r="C4" s="176" t="s">
        <v>37</v>
      </c>
      <c r="D4" s="75" t="s">
        <v>179</v>
      </c>
      <c r="E4" s="93">
        <f>MIN('Etap 1'!H6:H15)</f>
        <v>43831</v>
      </c>
      <c r="F4" s="66"/>
      <c r="G4" s="67"/>
      <c r="H4" s="67"/>
      <c r="I4" s="67"/>
      <c r="J4" s="65"/>
    </row>
    <row r="5" spans="2:10" ht="15.75" thickBot="1" x14ac:dyDescent="0.3">
      <c r="B5" s="63"/>
      <c r="C5" s="177"/>
      <c r="D5" s="76" t="s">
        <v>180</v>
      </c>
      <c r="E5" s="94">
        <f>MAX('Etap 1'!I6:I15,'Etap 1'!R6:R15)</f>
        <v>43931</v>
      </c>
      <c r="F5" s="66"/>
      <c r="G5" s="67"/>
      <c r="H5" s="67"/>
      <c r="I5" s="67"/>
      <c r="J5" s="65"/>
    </row>
    <row r="6" spans="2:10" ht="15.75" thickBot="1" x14ac:dyDescent="0.3">
      <c r="B6" s="63"/>
      <c r="C6" s="66"/>
      <c r="D6" s="66"/>
      <c r="E6" s="66"/>
      <c r="F6" s="66"/>
      <c r="G6" s="67"/>
      <c r="H6" s="67"/>
      <c r="I6" s="67"/>
      <c r="J6" s="65"/>
    </row>
    <row r="7" spans="2:10" x14ac:dyDescent="0.25">
      <c r="B7" s="63"/>
      <c r="C7" s="170" t="s">
        <v>0</v>
      </c>
      <c r="D7" s="171"/>
      <c r="E7" s="172"/>
      <c r="F7" s="66"/>
      <c r="G7" s="173" t="s">
        <v>30</v>
      </c>
      <c r="H7" s="174"/>
      <c r="I7" s="175"/>
      <c r="J7" s="65"/>
    </row>
    <row r="8" spans="2:10" x14ac:dyDescent="0.25">
      <c r="B8" s="63"/>
      <c r="C8" s="78" t="s">
        <v>33</v>
      </c>
      <c r="D8" s="79" t="s">
        <v>2</v>
      </c>
      <c r="E8" s="80" t="s">
        <v>32</v>
      </c>
      <c r="F8" s="67"/>
      <c r="G8" s="78" t="s">
        <v>33</v>
      </c>
      <c r="H8" s="79" t="s">
        <v>2</v>
      </c>
      <c r="I8" s="80" t="s">
        <v>32</v>
      </c>
      <c r="J8" s="65"/>
    </row>
    <row r="9" spans="2:10" x14ac:dyDescent="0.25">
      <c r="B9" s="63"/>
      <c r="C9" s="68" t="str">
        <f>'Etap 1'!B6</f>
        <v>1.1</v>
      </c>
      <c r="D9" s="51" t="str">
        <f>IF('Etap 1'!C6&lt;&gt;"",'Etap 1'!C6,"")</f>
        <v>Zadanie P1.1</v>
      </c>
      <c r="E9" s="59">
        <f>IF('Etap 1'!G6&lt;&gt;"",'Etap 1'!G6,"")</f>
        <v>2796</v>
      </c>
      <c r="F9" s="69"/>
      <c r="G9" s="68" t="str">
        <f>'Etap 1'!K6</f>
        <v>1.11</v>
      </c>
      <c r="H9" s="51" t="str">
        <f>IF('Etap 1'!L6&lt;&gt;"",'Etap 1'!L6,"")</f>
        <v>Zadanie T1.1</v>
      </c>
      <c r="I9" s="59">
        <f>IF('Etap 1'!P6&lt;&gt;"",'Etap 1'!P6,"")</f>
        <v>2796</v>
      </c>
      <c r="J9" s="65"/>
    </row>
    <row r="10" spans="2:10" x14ac:dyDescent="0.25">
      <c r="B10" s="63"/>
      <c r="C10" s="68" t="str">
        <f>'Etap 1'!B7</f>
        <v>1.2</v>
      </c>
      <c r="D10" s="51" t="str">
        <f>IF('Etap 1'!C7&lt;&gt;"",'Etap 1'!C7,"")</f>
        <v>Zadanie P1.2</v>
      </c>
      <c r="E10" s="59">
        <f>IF('Etap 1'!G7&lt;&gt;"",'Etap 1'!G7,"")</f>
        <v>2796</v>
      </c>
      <c r="F10" s="69"/>
      <c r="G10" s="68" t="str">
        <f>'Etap 1'!K7</f>
        <v>1.12</v>
      </c>
      <c r="H10" s="51" t="str">
        <f>IF('Etap 1'!L7&lt;&gt;"",'Etap 1'!L7,"")</f>
        <v>Zadanie T1.2</v>
      </c>
      <c r="I10" s="59">
        <f>IF('Etap 1'!P7&lt;&gt;"",'Etap 1'!P7,"")</f>
        <v>2796</v>
      </c>
      <c r="J10" s="65"/>
    </row>
    <row r="11" spans="2:10" x14ac:dyDescent="0.25">
      <c r="B11" s="63"/>
      <c r="C11" s="68" t="str">
        <f>'Etap 1'!B8</f>
        <v>1.3</v>
      </c>
      <c r="D11" s="51" t="str">
        <f>IF('Etap 1'!C8&lt;&gt;"",'Etap 1'!C8,"")</f>
        <v>Zadanie P1.3</v>
      </c>
      <c r="E11" s="59">
        <f>IF('Etap 1'!G8&lt;&gt;"",'Etap 1'!G8,"")</f>
        <v>2796</v>
      </c>
      <c r="F11" s="69"/>
      <c r="G11" s="68" t="str">
        <f>'Etap 1'!K8</f>
        <v>1.13</v>
      </c>
      <c r="H11" s="51" t="str">
        <f>IF('Etap 1'!L8&lt;&gt;"",'Etap 1'!L8,"")</f>
        <v>Zadanie T1.3</v>
      </c>
      <c r="I11" s="59">
        <f>IF('Etap 1'!P8&lt;&gt;"",'Etap 1'!P8,"")</f>
        <v>2796</v>
      </c>
      <c r="J11" s="65"/>
    </row>
    <row r="12" spans="2:10" x14ac:dyDescent="0.25">
      <c r="B12" s="63"/>
      <c r="C12" s="68" t="str">
        <f>'Etap 1'!B9</f>
        <v>1.4</v>
      </c>
      <c r="D12" s="51" t="str">
        <f>IF('Etap 1'!C9&lt;&gt;"",'Etap 1'!C9,"")</f>
        <v>Zadanie P1.4</v>
      </c>
      <c r="E12" s="59">
        <f>IF('Etap 1'!G9&lt;&gt;"",'Etap 1'!G9,"")</f>
        <v>2796</v>
      </c>
      <c r="F12" s="69"/>
      <c r="G12" s="68" t="str">
        <f>'Etap 1'!K9</f>
        <v>1.14</v>
      </c>
      <c r="H12" s="51" t="str">
        <f>IF('Etap 1'!L9&lt;&gt;"",'Etap 1'!L9,"")</f>
        <v>Zadanie T1.4</v>
      </c>
      <c r="I12" s="59">
        <f>IF('Etap 1'!P9&lt;&gt;"",'Etap 1'!P9,"")</f>
        <v>2796</v>
      </c>
      <c r="J12" s="65"/>
    </row>
    <row r="13" spans="2:10" x14ac:dyDescent="0.25">
      <c r="B13" s="63"/>
      <c r="C13" s="68" t="str">
        <f>'Etap 1'!B10</f>
        <v>1.5</v>
      </c>
      <c r="D13" s="51" t="str">
        <f>IF('Etap 1'!C10&lt;&gt;"",'Etap 1'!C10,"")</f>
        <v>Zadanie P1.5</v>
      </c>
      <c r="E13" s="59">
        <f>IF('Etap 1'!G10&lt;&gt;"",'Etap 1'!G10,"")</f>
        <v>2796</v>
      </c>
      <c r="F13" s="69"/>
      <c r="G13" s="68" t="str">
        <f>'Etap 1'!K10</f>
        <v>1.15</v>
      </c>
      <c r="H13" s="51" t="str">
        <f>IF('Etap 1'!L10&lt;&gt;"",'Etap 1'!L10,"")</f>
        <v>Zadanie T1.5</v>
      </c>
      <c r="I13" s="59">
        <f>IF('Etap 1'!P10&lt;&gt;"",'Etap 1'!P10,"")</f>
        <v>2796</v>
      </c>
      <c r="J13" s="65"/>
    </row>
    <row r="14" spans="2:10" x14ac:dyDescent="0.25">
      <c r="B14" s="63"/>
      <c r="C14" s="68" t="str">
        <f>'Etap 1'!B11</f>
        <v>1.6</v>
      </c>
      <c r="D14" s="51" t="str">
        <f>IF('Etap 1'!C11&lt;&gt;"",'Etap 1'!C11,"")</f>
        <v>Zadanie P1.6</v>
      </c>
      <c r="E14" s="59">
        <f>IF('Etap 1'!G11&lt;&gt;"",'Etap 1'!G11,"")</f>
        <v>2796</v>
      </c>
      <c r="F14" s="69"/>
      <c r="G14" s="68" t="str">
        <f>'Etap 1'!K11</f>
        <v>1.16</v>
      </c>
      <c r="H14" s="51" t="str">
        <f>IF('Etap 1'!L11&lt;&gt;"",'Etap 1'!L11,"")</f>
        <v>Zadanie T1.6</v>
      </c>
      <c r="I14" s="59">
        <f>IF('Etap 1'!P11&lt;&gt;"",'Etap 1'!P11,"")</f>
        <v>2796</v>
      </c>
      <c r="J14" s="65"/>
    </row>
    <row r="15" spans="2:10" x14ac:dyDescent="0.25">
      <c r="B15" s="63"/>
      <c r="C15" s="68" t="str">
        <f>'Etap 1'!B12</f>
        <v>1.7</v>
      </c>
      <c r="D15" s="51" t="str">
        <f>IF('Etap 1'!C12&lt;&gt;"",'Etap 1'!C12,"")</f>
        <v>Zadanie P1.7</v>
      </c>
      <c r="E15" s="59">
        <f>IF('Etap 1'!G12&lt;&gt;"",'Etap 1'!G12,"")</f>
        <v>2796</v>
      </c>
      <c r="F15" s="69"/>
      <c r="G15" s="68" t="str">
        <f>'Etap 1'!K12</f>
        <v>1.17</v>
      </c>
      <c r="H15" s="51" t="str">
        <f>IF('Etap 1'!L12&lt;&gt;"",'Etap 1'!L12,"")</f>
        <v>Zadanie T1.7</v>
      </c>
      <c r="I15" s="59">
        <f>IF('Etap 1'!P12&lt;&gt;"",'Etap 1'!P12,"")</f>
        <v>2796</v>
      </c>
      <c r="J15" s="65"/>
    </row>
    <row r="16" spans="2:10" x14ac:dyDescent="0.25">
      <c r="B16" s="63"/>
      <c r="C16" s="68" t="str">
        <f>'Etap 1'!B13</f>
        <v>1.8</v>
      </c>
      <c r="D16" s="51" t="str">
        <f>IF('Etap 1'!C13&lt;&gt;"",'Etap 1'!C13,"")</f>
        <v>Zadanie P1.8</v>
      </c>
      <c r="E16" s="59">
        <f>IF('Etap 1'!G13&lt;&gt;"",'Etap 1'!G13,"")</f>
        <v>2796</v>
      </c>
      <c r="F16" s="69"/>
      <c r="G16" s="68" t="str">
        <f>'Etap 1'!K13</f>
        <v>1.18</v>
      </c>
      <c r="H16" s="51" t="str">
        <f>IF('Etap 1'!L13&lt;&gt;"",'Etap 1'!L13,"")</f>
        <v>Zadanie T1.8</v>
      </c>
      <c r="I16" s="59">
        <f>IF('Etap 1'!P13&lt;&gt;"",'Etap 1'!P13,"")</f>
        <v>2796</v>
      </c>
      <c r="J16" s="65"/>
    </row>
    <row r="17" spans="2:10" x14ac:dyDescent="0.25">
      <c r="B17" s="63"/>
      <c r="C17" s="68" t="str">
        <f>'Etap 1'!B14</f>
        <v>1.9</v>
      </c>
      <c r="D17" s="51" t="str">
        <f>IF('Etap 1'!C14&lt;&gt;"",'Etap 1'!C14,"")</f>
        <v>Zadanie P1.9</v>
      </c>
      <c r="E17" s="59">
        <f>IF('Etap 1'!G14&lt;&gt;"",'Etap 1'!G14,"")</f>
        <v>2796</v>
      </c>
      <c r="F17" s="69"/>
      <c r="G17" s="68" t="str">
        <f>'Etap 1'!K14</f>
        <v>1.19</v>
      </c>
      <c r="H17" s="51" t="str">
        <f>IF('Etap 1'!L14&lt;&gt;"",'Etap 1'!L14,"")</f>
        <v>Zadanie T1.9</v>
      </c>
      <c r="I17" s="59">
        <f>IF('Etap 1'!P14&lt;&gt;"",'Etap 1'!P14,"")</f>
        <v>2796</v>
      </c>
      <c r="J17" s="65"/>
    </row>
    <row r="18" spans="2:10" ht="15.75" thickBot="1" x14ac:dyDescent="0.3">
      <c r="B18" s="63"/>
      <c r="C18" s="70" t="str">
        <f>'Etap 1'!B15</f>
        <v>1.10</v>
      </c>
      <c r="D18" s="52" t="str">
        <f>IF('Etap 1'!C15&lt;&gt;"",'Etap 1'!C15,"")</f>
        <v>Zadanie P1.10</v>
      </c>
      <c r="E18" s="60">
        <f>IF('Etap 1'!G15&lt;&gt;"",'Etap 1'!G15,"")</f>
        <v>2796</v>
      </c>
      <c r="F18" s="69"/>
      <c r="G18" s="70" t="str">
        <f>'Etap 1'!K15</f>
        <v>1.20</v>
      </c>
      <c r="H18" s="52" t="str">
        <f>IF('Etap 1'!L15&lt;&gt;"",'Etap 1'!L15,"")</f>
        <v>Zadanie T1.10</v>
      </c>
      <c r="I18" s="60">
        <f>IF('Etap 1'!P15&lt;&gt;"",'Etap 1'!P15,"")</f>
        <v>2796</v>
      </c>
      <c r="J18" s="65"/>
    </row>
    <row r="19" spans="2:10" ht="15.75" thickBot="1" x14ac:dyDescent="0.3">
      <c r="B19" s="63"/>
      <c r="C19" s="178" t="s">
        <v>42</v>
      </c>
      <c r="D19" s="179"/>
      <c r="E19" s="71">
        <f>SUM(E9:E18)</f>
        <v>27960</v>
      </c>
      <c r="F19" s="67"/>
      <c r="G19" s="178" t="s">
        <v>43</v>
      </c>
      <c r="H19" s="179"/>
      <c r="I19" s="71">
        <f>SUM(I9:I18)</f>
        <v>27960</v>
      </c>
      <c r="J19" s="65"/>
    </row>
    <row r="20" spans="2:10" ht="15.75" thickBot="1" x14ac:dyDescent="0.3">
      <c r="B20" s="63"/>
      <c r="C20" s="67"/>
      <c r="D20" s="67"/>
      <c r="E20" s="67"/>
      <c r="F20" s="67"/>
      <c r="G20" s="67"/>
      <c r="H20" s="69"/>
      <c r="I20" s="69"/>
      <c r="J20" s="65"/>
    </row>
    <row r="21" spans="2:10" ht="15.75" thickBot="1" x14ac:dyDescent="0.3">
      <c r="B21" s="63"/>
      <c r="C21" s="67" t="str">
        <f>IF('Etap 1'!B18&lt;&gt;"",'Etap 1'!B18,"")</f>
        <v/>
      </c>
      <c r="D21" s="67"/>
      <c r="E21" s="67"/>
      <c r="F21" s="67"/>
      <c r="G21" s="67"/>
      <c r="H21" s="77" t="s">
        <v>36</v>
      </c>
      <c r="I21" s="71">
        <f>E19+I19</f>
        <v>55920</v>
      </c>
      <c r="J21" s="65"/>
    </row>
    <row r="22" spans="2:10" ht="15.75" thickBot="1" x14ac:dyDescent="0.3">
      <c r="B22" s="72"/>
      <c r="C22" s="73"/>
      <c r="D22" s="73"/>
      <c r="E22" s="73"/>
      <c r="F22" s="73"/>
      <c r="G22" s="73"/>
      <c r="H22" s="73"/>
      <c r="I22" s="73"/>
      <c r="J22" s="74"/>
    </row>
    <row r="23" spans="2:10" ht="15.75" thickBot="1" x14ac:dyDescent="0.3"/>
    <row r="24" spans="2:10" ht="21.75" thickBot="1" x14ac:dyDescent="0.4">
      <c r="B24" s="81"/>
      <c r="C24" s="169" t="s">
        <v>34</v>
      </c>
      <c r="D24" s="169"/>
      <c r="E24" s="169"/>
      <c r="F24" s="169"/>
      <c r="G24" s="169"/>
      <c r="H24" s="169"/>
      <c r="I24" s="169"/>
      <c r="J24" s="82"/>
    </row>
    <row r="25" spans="2:10" ht="21.75" thickBot="1" x14ac:dyDescent="0.4">
      <c r="B25" s="63"/>
      <c r="C25" s="64"/>
      <c r="D25" s="64"/>
      <c r="E25" s="64"/>
      <c r="F25" s="64"/>
      <c r="G25" s="64"/>
      <c r="H25" s="64"/>
      <c r="I25" s="64"/>
      <c r="J25" s="65"/>
    </row>
    <row r="26" spans="2:10" x14ac:dyDescent="0.25">
      <c r="B26" s="63"/>
      <c r="C26" s="176" t="s">
        <v>37</v>
      </c>
      <c r="D26" s="75" t="s">
        <v>38</v>
      </c>
      <c r="E26" s="93">
        <f>MIN('Etap 2'!H6:H15)</f>
        <v>43952</v>
      </c>
      <c r="F26" s="66"/>
      <c r="G26" s="67"/>
      <c r="H26" s="66"/>
      <c r="I26" s="66"/>
      <c r="J26" s="65"/>
    </row>
    <row r="27" spans="2:10" ht="15.75" thickBot="1" x14ac:dyDescent="0.3">
      <c r="B27" s="63"/>
      <c r="C27" s="177"/>
      <c r="D27" s="76" t="s">
        <v>39</v>
      </c>
      <c r="E27" s="94">
        <f>MAX('Etap 2'!I6:I15,'Etap 2'!R6:R15)</f>
        <v>44022</v>
      </c>
      <c r="F27" s="66"/>
      <c r="G27" s="67"/>
      <c r="H27" s="66"/>
      <c r="I27" s="66"/>
      <c r="J27" s="65"/>
    </row>
    <row r="28" spans="2:10" ht="15.75" thickBot="1" x14ac:dyDescent="0.3">
      <c r="B28" s="63"/>
      <c r="C28" s="66"/>
      <c r="D28" s="66"/>
      <c r="E28" s="66"/>
      <c r="F28" s="66"/>
      <c r="G28" s="67"/>
      <c r="H28" s="67"/>
      <c r="I28" s="67"/>
      <c r="J28" s="65"/>
    </row>
    <row r="29" spans="2:10" x14ac:dyDescent="0.25">
      <c r="B29" s="63"/>
      <c r="C29" s="170" t="s">
        <v>0</v>
      </c>
      <c r="D29" s="171"/>
      <c r="E29" s="172"/>
      <c r="F29" s="66"/>
      <c r="G29" s="173" t="s">
        <v>30</v>
      </c>
      <c r="H29" s="174"/>
      <c r="I29" s="175"/>
      <c r="J29" s="65"/>
    </row>
    <row r="30" spans="2:10" x14ac:dyDescent="0.25">
      <c r="B30" s="63"/>
      <c r="C30" s="78" t="s">
        <v>33</v>
      </c>
      <c r="D30" s="79" t="s">
        <v>2</v>
      </c>
      <c r="E30" s="80" t="s">
        <v>32</v>
      </c>
      <c r="F30" s="67"/>
      <c r="G30" s="78" t="s">
        <v>33</v>
      </c>
      <c r="H30" s="79" t="s">
        <v>2</v>
      </c>
      <c r="I30" s="80" t="s">
        <v>32</v>
      </c>
      <c r="J30" s="65"/>
    </row>
    <row r="31" spans="2:10" x14ac:dyDescent="0.25">
      <c r="B31" s="63"/>
      <c r="C31" s="68" t="str">
        <f>'Etap 2'!B6</f>
        <v>2.1</v>
      </c>
      <c r="D31" s="51" t="str">
        <f>IF('Etap 2'!C6&lt;&gt;"",'Etap 2'!C6,"")</f>
        <v>Zadanie P2.1</v>
      </c>
      <c r="E31" s="59">
        <f>IF('Etap 2'!G6&lt;&gt;"",'Etap 2'!G6,"")</f>
        <v>2796</v>
      </c>
      <c r="F31" s="69"/>
      <c r="G31" s="68" t="str">
        <f>'Etap 2'!K6</f>
        <v>2.11</v>
      </c>
      <c r="H31" s="51" t="str">
        <f>IF('Etap 2'!L6&lt;&gt;"",'Etap 2'!L6,"")</f>
        <v>Zadanie T2.1</v>
      </c>
      <c r="I31" s="59">
        <f>IF('Etap 2'!P6&lt;&gt;"",'Etap 2'!P6,"")</f>
        <v>2796</v>
      </c>
      <c r="J31" s="65"/>
    </row>
    <row r="32" spans="2:10" x14ac:dyDescent="0.25">
      <c r="B32" s="63"/>
      <c r="C32" s="68" t="str">
        <f>'Etap 2'!B7</f>
        <v>2.2</v>
      </c>
      <c r="D32" s="51" t="str">
        <f>IF('Etap 2'!C7&lt;&gt;"",'Etap 2'!C7,"")</f>
        <v>Zadanie P2.2</v>
      </c>
      <c r="E32" s="59">
        <f>IF('Etap 2'!G7&lt;&gt;"",'Etap 2'!G7,"")</f>
        <v>2796</v>
      </c>
      <c r="F32" s="69"/>
      <c r="G32" s="68" t="str">
        <f>'Etap 2'!K7</f>
        <v>2.12</v>
      </c>
      <c r="H32" s="51" t="str">
        <f>IF('Etap 2'!L7&lt;&gt;"",'Etap 2'!L7,"")</f>
        <v>Zadanie T2.2</v>
      </c>
      <c r="I32" s="59">
        <f>IF('Etap 2'!P7&lt;&gt;"",'Etap 2'!P7,"")</f>
        <v>2796</v>
      </c>
      <c r="J32" s="65"/>
    </row>
    <row r="33" spans="2:10" x14ac:dyDescent="0.25">
      <c r="B33" s="63"/>
      <c r="C33" s="68" t="str">
        <f>'Etap 2'!B8</f>
        <v>2.3</v>
      </c>
      <c r="D33" s="51" t="str">
        <f>IF('Etap 2'!C8&lt;&gt;"",'Etap 2'!C8,"")</f>
        <v>Zadanie P2.3</v>
      </c>
      <c r="E33" s="59">
        <f>IF('Etap 2'!G8&lt;&gt;"",'Etap 2'!G8,"")</f>
        <v>2796</v>
      </c>
      <c r="F33" s="69"/>
      <c r="G33" s="68" t="str">
        <f>'Etap 2'!K8</f>
        <v>2.13</v>
      </c>
      <c r="H33" s="51" t="str">
        <f>IF('Etap 2'!L8&lt;&gt;"",'Etap 2'!L8,"")</f>
        <v>Zadanie T2.3</v>
      </c>
      <c r="I33" s="59">
        <f>IF('Etap 2'!P8&lt;&gt;"",'Etap 2'!P8,"")</f>
        <v>2796</v>
      </c>
      <c r="J33" s="65"/>
    </row>
    <row r="34" spans="2:10" x14ac:dyDescent="0.25">
      <c r="B34" s="63"/>
      <c r="C34" s="68" t="str">
        <f>'Etap 2'!B9</f>
        <v>2.4</v>
      </c>
      <c r="D34" s="51" t="str">
        <f>IF('Etap 2'!C9&lt;&gt;"",'Etap 2'!C9,"")</f>
        <v>Zadanie P2.4</v>
      </c>
      <c r="E34" s="59">
        <f>IF('Etap 2'!G9&lt;&gt;"",'Etap 2'!G9,"")</f>
        <v>2796</v>
      </c>
      <c r="F34" s="69"/>
      <c r="G34" s="68" t="str">
        <f>'Etap 2'!K9</f>
        <v>2.14</v>
      </c>
      <c r="H34" s="51" t="str">
        <f>IF('Etap 2'!L9&lt;&gt;"",'Etap 2'!L9,"")</f>
        <v>Zadanie T2.4</v>
      </c>
      <c r="I34" s="59">
        <f>IF('Etap 2'!P9&lt;&gt;"",'Etap 2'!P9,"")</f>
        <v>2796</v>
      </c>
      <c r="J34" s="65"/>
    </row>
    <row r="35" spans="2:10" x14ac:dyDescent="0.25">
      <c r="B35" s="63"/>
      <c r="C35" s="68" t="str">
        <f>'Etap 2'!B10</f>
        <v>2.5</v>
      </c>
      <c r="D35" s="51" t="str">
        <f>IF('Etap 2'!C10&lt;&gt;"",'Etap 2'!C10,"")</f>
        <v>Zadanie P2.5</v>
      </c>
      <c r="E35" s="59">
        <f>IF('Etap 2'!G10&lt;&gt;"",'Etap 2'!G10,"")</f>
        <v>2796</v>
      </c>
      <c r="F35" s="69"/>
      <c r="G35" s="68" t="str">
        <f>'Etap 2'!K10</f>
        <v>2.15</v>
      </c>
      <c r="H35" s="51" t="str">
        <f>IF('Etap 2'!L10&lt;&gt;"",'Etap 2'!L10,"")</f>
        <v>Zadanie T2.5</v>
      </c>
      <c r="I35" s="59">
        <f>IF('Etap 2'!P10&lt;&gt;"",'Etap 2'!P10,"")</f>
        <v>2796</v>
      </c>
      <c r="J35" s="65"/>
    </row>
    <row r="36" spans="2:10" x14ac:dyDescent="0.25">
      <c r="B36" s="63"/>
      <c r="C36" s="68" t="str">
        <f>'Etap 2'!B11</f>
        <v>2.6</v>
      </c>
      <c r="D36" s="51" t="str">
        <f>IF('Etap 2'!C11&lt;&gt;"",'Etap 2'!C11,"")</f>
        <v>Zadanie P2.6</v>
      </c>
      <c r="E36" s="59">
        <f>IF('Etap 2'!G11&lt;&gt;"",'Etap 2'!G11,"")</f>
        <v>2796</v>
      </c>
      <c r="F36" s="69"/>
      <c r="G36" s="68" t="str">
        <f>'Etap 2'!K11</f>
        <v>2.16</v>
      </c>
      <c r="H36" s="51" t="str">
        <f>IF('Etap 2'!L11&lt;&gt;"",'Etap 2'!L11,"")</f>
        <v>Zadanie T2.6</v>
      </c>
      <c r="I36" s="59">
        <f>IF('Etap 2'!P11&lt;&gt;"",'Etap 2'!P11,"")</f>
        <v>2796</v>
      </c>
      <c r="J36" s="65"/>
    </row>
    <row r="37" spans="2:10" x14ac:dyDescent="0.25">
      <c r="B37" s="63"/>
      <c r="C37" s="68" t="str">
        <f>'Etap 2'!B12</f>
        <v>2.7</v>
      </c>
      <c r="D37" s="51" t="str">
        <f>IF('Etap 2'!C12&lt;&gt;"",'Etap 2'!C12,"")</f>
        <v>Zadanie P2.7</v>
      </c>
      <c r="E37" s="59">
        <f>IF('Etap 2'!G12&lt;&gt;"",'Etap 2'!G12,"")</f>
        <v>2796</v>
      </c>
      <c r="F37" s="69"/>
      <c r="G37" s="68" t="str">
        <f>'Etap 2'!K12</f>
        <v>2.17</v>
      </c>
      <c r="H37" s="51" t="str">
        <f>IF('Etap 2'!L12&lt;&gt;"",'Etap 2'!L12,"")</f>
        <v>Zadanie T2.7</v>
      </c>
      <c r="I37" s="59">
        <f>IF('Etap 2'!P12&lt;&gt;"",'Etap 2'!P12,"")</f>
        <v>2796</v>
      </c>
      <c r="J37" s="65"/>
    </row>
    <row r="38" spans="2:10" x14ac:dyDescent="0.25">
      <c r="B38" s="63"/>
      <c r="C38" s="68" t="str">
        <f>'Etap 2'!B13</f>
        <v>2.8</v>
      </c>
      <c r="D38" s="51" t="str">
        <f>IF('Etap 2'!C13&lt;&gt;"",'Etap 2'!C13,"")</f>
        <v>Zadanie P2.8</v>
      </c>
      <c r="E38" s="59">
        <f>IF('Etap 2'!G13&lt;&gt;"",'Etap 2'!G13,"")</f>
        <v>2796</v>
      </c>
      <c r="F38" s="69"/>
      <c r="G38" s="68" t="str">
        <f>'Etap 2'!K13</f>
        <v>2.18</v>
      </c>
      <c r="H38" s="51" t="str">
        <f>IF('Etap 2'!L13&lt;&gt;"",'Etap 2'!L13,"")</f>
        <v>Zadanie T2.8</v>
      </c>
      <c r="I38" s="59">
        <f>IF('Etap 2'!P13&lt;&gt;"",'Etap 2'!P13,"")</f>
        <v>2796</v>
      </c>
      <c r="J38" s="65"/>
    </row>
    <row r="39" spans="2:10" x14ac:dyDescent="0.25">
      <c r="B39" s="63"/>
      <c r="C39" s="68" t="str">
        <f>'Etap 2'!B14</f>
        <v>2.9</v>
      </c>
      <c r="D39" s="51" t="str">
        <f>IF('Etap 2'!C14&lt;&gt;"",'Etap 2'!C14,"")</f>
        <v>Zadanie P2.9</v>
      </c>
      <c r="E39" s="59">
        <f>IF('Etap 2'!G14&lt;&gt;"",'Etap 2'!G14,"")</f>
        <v>2796</v>
      </c>
      <c r="F39" s="69"/>
      <c r="G39" s="68" t="str">
        <f>'Etap 2'!K14</f>
        <v>2.19</v>
      </c>
      <c r="H39" s="51" t="str">
        <f>IF('Etap 2'!L14&lt;&gt;"",'Etap 2'!L14,"")</f>
        <v>Zadanie T2.9</v>
      </c>
      <c r="I39" s="59">
        <f>IF('Etap 2'!P14&lt;&gt;"",'Etap 2'!P14,"")</f>
        <v>2796</v>
      </c>
      <c r="J39" s="65"/>
    </row>
    <row r="40" spans="2:10" ht="15.75" thickBot="1" x14ac:dyDescent="0.3">
      <c r="B40" s="63"/>
      <c r="C40" s="68" t="str">
        <f>'Etap 2'!B15</f>
        <v>2.10</v>
      </c>
      <c r="D40" s="51" t="str">
        <f>IF('Etap 2'!C15&lt;&gt;"",'Etap 2'!C15,"")</f>
        <v>Zadanie P2.10</v>
      </c>
      <c r="E40" s="59">
        <f>IF('Etap 2'!G15&lt;&gt;"",'Etap 2'!G15,"")</f>
        <v>2796</v>
      </c>
      <c r="F40" s="69"/>
      <c r="G40" s="68" t="str">
        <f>'Etap 2'!K15</f>
        <v>2.20</v>
      </c>
      <c r="H40" s="51" t="str">
        <f>IF('Etap 2'!L15&lt;&gt;"",'Etap 2'!L15,"")</f>
        <v>Zadanie T2.10</v>
      </c>
      <c r="I40" s="59">
        <f>IF('Etap 2'!P15&lt;&gt;"",'Etap 2'!P15,"")</f>
        <v>2796</v>
      </c>
      <c r="J40" s="65"/>
    </row>
    <row r="41" spans="2:10" ht="15.75" thickBot="1" x14ac:dyDescent="0.3">
      <c r="B41" s="63"/>
      <c r="C41" s="178" t="s">
        <v>42</v>
      </c>
      <c r="D41" s="179"/>
      <c r="E41" s="71">
        <f>SUM(E31:E40)</f>
        <v>27960</v>
      </c>
      <c r="F41" s="67"/>
      <c r="G41" s="178" t="s">
        <v>43</v>
      </c>
      <c r="H41" s="179"/>
      <c r="I41" s="71">
        <f>SUM(I31:I40)</f>
        <v>27960</v>
      </c>
      <c r="J41" s="65"/>
    </row>
    <row r="42" spans="2:10" ht="15.75" thickBot="1" x14ac:dyDescent="0.3">
      <c r="B42" s="63"/>
      <c r="C42" s="67"/>
      <c r="D42" s="67"/>
      <c r="E42" s="67"/>
      <c r="F42" s="67"/>
      <c r="G42" s="67"/>
      <c r="H42" s="69"/>
      <c r="I42" s="69"/>
      <c r="J42" s="65"/>
    </row>
    <row r="43" spans="2:10" ht="15.75" thickBot="1" x14ac:dyDescent="0.3">
      <c r="B43" s="63"/>
      <c r="C43" s="67"/>
      <c r="D43" s="67"/>
      <c r="E43" s="67"/>
      <c r="F43" s="67"/>
      <c r="G43" s="67"/>
      <c r="H43" s="77" t="s">
        <v>36</v>
      </c>
      <c r="I43" s="71">
        <f>E41+I41</f>
        <v>55920</v>
      </c>
      <c r="J43" s="65"/>
    </row>
    <row r="44" spans="2:10" ht="15.75" thickBot="1" x14ac:dyDescent="0.3">
      <c r="B44" s="72"/>
      <c r="C44" s="73"/>
      <c r="D44" s="73"/>
      <c r="E44" s="73"/>
      <c r="F44" s="73"/>
      <c r="G44" s="73"/>
      <c r="H44" s="73"/>
      <c r="I44" s="73"/>
      <c r="J44" s="74"/>
    </row>
    <row r="45" spans="2:10" ht="15.75" thickBot="1" x14ac:dyDescent="0.3"/>
    <row r="46" spans="2:10" ht="21.75" thickBot="1" x14ac:dyDescent="0.4">
      <c r="B46" s="81"/>
      <c r="C46" s="169" t="s">
        <v>35</v>
      </c>
      <c r="D46" s="169"/>
      <c r="E46" s="169"/>
      <c r="F46" s="169"/>
      <c r="G46" s="169"/>
      <c r="H46" s="169"/>
      <c r="I46" s="169"/>
      <c r="J46" s="82"/>
    </row>
    <row r="47" spans="2:10" ht="15.75" thickBot="1" x14ac:dyDescent="0.3">
      <c r="B47" s="83"/>
      <c r="C47" s="85"/>
      <c r="D47" s="85"/>
      <c r="E47" s="85"/>
      <c r="F47" s="85"/>
      <c r="G47" s="85"/>
      <c r="H47" s="85"/>
      <c r="I47" s="85"/>
      <c r="J47" s="84"/>
    </row>
    <row r="48" spans="2:10" x14ac:dyDescent="0.25">
      <c r="B48" s="83"/>
      <c r="C48" s="176" t="s">
        <v>37</v>
      </c>
      <c r="D48" s="75" t="s">
        <v>38</v>
      </c>
      <c r="E48" s="93">
        <f>MIN('Etap 3'!H6:H15)</f>
        <v>44075</v>
      </c>
      <c r="F48" s="66"/>
      <c r="G48" s="67"/>
      <c r="H48" s="67"/>
      <c r="I48" s="67"/>
      <c r="J48" s="84"/>
    </row>
    <row r="49" spans="2:10" ht="15.75" thickBot="1" x14ac:dyDescent="0.3">
      <c r="B49" s="83"/>
      <c r="C49" s="177"/>
      <c r="D49" s="76" t="s">
        <v>39</v>
      </c>
      <c r="E49" s="94">
        <f>MAX('Etap 3'!I6:I15,'Etap 3'!R6:R15)</f>
        <v>44114</v>
      </c>
      <c r="F49" s="66"/>
      <c r="G49" s="67"/>
      <c r="H49" s="67"/>
      <c r="I49" s="67"/>
      <c r="J49" s="84"/>
    </row>
    <row r="50" spans="2:10" ht="15.75" thickBot="1" x14ac:dyDescent="0.3">
      <c r="B50" s="83"/>
      <c r="C50" s="66"/>
      <c r="D50" s="66"/>
      <c r="E50" s="66"/>
      <c r="F50" s="66"/>
      <c r="G50" s="67"/>
      <c r="H50" s="67"/>
      <c r="I50" s="67"/>
      <c r="J50" s="84"/>
    </row>
    <row r="51" spans="2:10" x14ac:dyDescent="0.25">
      <c r="B51" s="83"/>
      <c r="C51" s="170" t="s">
        <v>0</v>
      </c>
      <c r="D51" s="171"/>
      <c r="E51" s="172"/>
      <c r="F51" s="66"/>
      <c r="G51" s="67"/>
      <c r="H51" s="67"/>
      <c r="I51" s="67"/>
      <c r="J51" s="84"/>
    </row>
    <row r="52" spans="2:10" x14ac:dyDescent="0.25">
      <c r="B52" s="83"/>
      <c r="C52" s="78" t="s">
        <v>33</v>
      </c>
      <c r="D52" s="79" t="s">
        <v>2</v>
      </c>
      <c r="E52" s="80" t="s">
        <v>32</v>
      </c>
      <c r="F52" s="67"/>
      <c r="G52" s="67"/>
      <c r="H52" s="67"/>
      <c r="I52" s="67"/>
      <c r="J52" s="84"/>
    </row>
    <row r="53" spans="2:10" x14ac:dyDescent="0.25">
      <c r="B53" s="83"/>
      <c r="C53" s="68" t="str">
        <f>'Etap 3'!B6</f>
        <v>3.1</v>
      </c>
      <c r="D53" s="62" t="str">
        <f>IF('Etap 3'!C6&lt;&gt;"",'Etap 3'!C6,"")</f>
        <v>Zadanie P3.1</v>
      </c>
      <c r="E53" s="59">
        <f>IF('Etap 3'!G6&lt;&gt;"",'Etap 3'!G6,"")</f>
        <v>2796</v>
      </c>
      <c r="F53" s="69"/>
      <c r="G53" s="67"/>
      <c r="H53" s="67"/>
      <c r="I53" s="67"/>
      <c r="J53" s="84"/>
    </row>
    <row r="54" spans="2:10" x14ac:dyDescent="0.25">
      <c r="B54" s="83"/>
      <c r="C54" s="68" t="str">
        <f>'Etap 3'!B7</f>
        <v>3.2</v>
      </c>
      <c r="D54" s="62" t="str">
        <f>IF('Etap 3'!C7&lt;&gt;"",'Etap 3'!C7,"")</f>
        <v>Zadanie P3.2</v>
      </c>
      <c r="E54" s="59">
        <f>IF('Etap 3'!G7&lt;&gt;"",'Etap 3'!G7,"")</f>
        <v>2796</v>
      </c>
      <c r="F54" s="69"/>
      <c r="G54" s="67"/>
      <c r="H54" s="67"/>
      <c r="I54" s="67"/>
      <c r="J54" s="84"/>
    </row>
    <row r="55" spans="2:10" x14ac:dyDescent="0.25">
      <c r="B55" s="83"/>
      <c r="C55" s="68" t="str">
        <f>'Etap 3'!B8</f>
        <v>3.3</v>
      </c>
      <c r="D55" s="62" t="str">
        <f>IF('Etap 3'!C8&lt;&gt;"",'Etap 3'!C8,"")</f>
        <v>Zadanie P3.3</v>
      </c>
      <c r="E55" s="59">
        <f>IF('Etap 3'!G8&lt;&gt;"",'Etap 3'!G8,"")</f>
        <v>2796</v>
      </c>
      <c r="F55" s="69"/>
      <c r="G55" s="67"/>
      <c r="H55" s="67"/>
      <c r="I55" s="67"/>
      <c r="J55" s="84"/>
    </row>
    <row r="56" spans="2:10" x14ac:dyDescent="0.25">
      <c r="B56" s="83"/>
      <c r="C56" s="68" t="str">
        <f>'Etap 3'!B9</f>
        <v>3.4</v>
      </c>
      <c r="D56" s="62" t="str">
        <f>IF('Etap 3'!C9&lt;&gt;"",'Etap 3'!C9,"")</f>
        <v>Zadanie P3.4</v>
      </c>
      <c r="E56" s="59">
        <f>IF('Etap 3'!G9&lt;&gt;"",'Etap 3'!G9,"")</f>
        <v>2796</v>
      </c>
      <c r="F56" s="69"/>
      <c r="G56" s="67"/>
      <c r="H56" s="67"/>
      <c r="I56" s="67"/>
      <c r="J56" s="84"/>
    </row>
    <row r="57" spans="2:10" x14ac:dyDescent="0.25">
      <c r="B57" s="83"/>
      <c r="C57" s="68" t="str">
        <f>'Etap 3'!B10</f>
        <v>3.5</v>
      </c>
      <c r="D57" s="62" t="str">
        <f>IF('Etap 3'!C10&lt;&gt;"",'Etap 3'!C10,"")</f>
        <v>Zadanie P3.5</v>
      </c>
      <c r="E57" s="59">
        <f>IF('Etap 3'!G10&lt;&gt;"",'Etap 3'!G10,"")</f>
        <v>2796</v>
      </c>
      <c r="F57" s="69"/>
      <c r="G57" s="67"/>
      <c r="H57" s="67"/>
      <c r="I57" s="67"/>
      <c r="J57" s="84"/>
    </row>
    <row r="58" spans="2:10" x14ac:dyDescent="0.25">
      <c r="B58" s="83"/>
      <c r="C58" s="68" t="str">
        <f>'Etap 3'!B11</f>
        <v>3.6</v>
      </c>
      <c r="D58" s="62" t="str">
        <f>IF('Etap 3'!C11&lt;&gt;"",'Etap 3'!C11,"")</f>
        <v>Zadanie P3.6</v>
      </c>
      <c r="E58" s="59">
        <f>IF('Etap 3'!G11&lt;&gt;"",'Etap 3'!G11,"")</f>
        <v>2796</v>
      </c>
      <c r="F58" s="69"/>
      <c r="G58" s="67"/>
      <c r="H58" s="67"/>
      <c r="I58" s="67"/>
      <c r="J58" s="84"/>
    </row>
    <row r="59" spans="2:10" x14ac:dyDescent="0.25">
      <c r="B59" s="83"/>
      <c r="C59" s="68" t="str">
        <f>'Etap 3'!B12</f>
        <v>3.7</v>
      </c>
      <c r="D59" s="62" t="str">
        <f>IF('Etap 3'!C12&lt;&gt;"",'Etap 3'!C12,"")</f>
        <v>Zadanie P3.7</v>
      </c>
      <c r="E59" s="59">
        <f>IF('Etap 3'!G12&lt;&gt;"",'Etap 3'!G12,"")</f>
        <v>2796</v>
      </c>
      <c r="F59" s="69"/>
      <c r="G59" s="67"/>
      <c r="H59" s="67"/>
      <c r="I59" s="67"/>
      <c r="J59" s="84"/>
    </row>
    <row r="60" spans="2:10" x14ac:dyDescent="0.25">
      <c r="B60" s="83"/>
      <c r="C60" s="68" t="str">
        <f>'Etap 3'!B13</f>
        <v>3.8</v>
      </c>
      <c r="D60" s="62" t="str">
        <f>IF('Etap 3'!C13&lt;&gt;"",'Etap 3'!C13,"")</f>
        <v>Zadanie P3.8</v>
      </c>
      <c r="E60" s="59">
        <f>IF('Etap 3'!G13&lt;&gt;"",'Etap 3'!G13,"")</f>
        <v>2796</v>
      </c>
      <c r="F60" s="69"/>
      <c r="G60" s="67"/>
      <c r="H60" s="67"/>
      <c r="I60" s="67"/>
      <c r="J60" s="84"/>
    </row>
    <row r="61" spans="2:10" x14ac:dyDescent="0.25">
      <c r="B61" s="83"/>
      <c r="C61" s="68" t="str">
        <f>'Etap 3'!B14</f>
        <v>3.9</v>
      </c>
      <c r="D61" s="62" t="str">
        <f>IF('Etap 3'!C14&lt;&gt;"",'Etap 3'!C14,"")</f>
        <v>Zadanie P3.9</v>
      </c>
      <c r="E61" s="59">
        <f>IF('Etap 3'!G14&lt;&gt;"",'Etap 3'!G14,"")</f>
        <v>2796</v>
      </c>
      <c r="F61" s="69"/>
      <c r="G61" s="67"/>
      <c r="H61" s="67"/>
      <c r="I61" s="67"/>
      <c r="J61" s="84"/>
    </row>
    <row r="62" spans="2:10" ht="15.75" thickBot="1" x14ac:dyDescent="0.3">
      <c r="B62" s="83"/>
      <c r="C62" s="68" t="str">
        <f>'Etap 3'!B15</f>
        <v>3.10</v>
      </c>
      <c r="D62" s="62" t="str">
        <f>IF('Etap 3'!C15&lt;&gt;"",'Etap 3'!C15,"")</f>
        <v>Zadanie P3.10</v>
      </c>
      <c r="E62" s="59">
        <f>IF('Etap 3'!G15&lt;&gt;"",'Etap 3'!G15,"")</f>
        <v>2796</v>
      </c>
      <c r="F62" s="69"/>
      <c r="G62" s="67"/>
      <c r="H62" s="67"/>
      <c r="I62" s="67"/>
      <c r="J62" s="84"/>
    </row>
    <row r="63" spans="2:10" ht="15.75" thickBot="1" x14ac:dyDescent="0.3">
      <c r="B63" s="83"/>
      <c r="C63" s="178" t="s">
        <v>181</v>
      </c>
      <c r="D63" s="179"/>
      <c r="E63" s="71">
        <f>SUM(E53:E62)</f>
        <v>27960</v>
      </c>
      <c r="F63" s="67"/>
      <c r="G63" s="67"/>
      <c r="H63" s="67"/>
      <c r="I63" s="67"/>
      <c r="J63" s="84"/>
    </row>
    <row r="64" spans="2:10" ht="15.75" thickBot="1" x14ac:dyDescent="0.3">
      <c r="B64" s="83"/>
      <c r="C64" s="67"/>
      <c r="D64" s="67"/>
      <c r="E64" s="67"/>
      <c r="F64" s="67"/>
      <c r="G64" s="67"/>
      <c r="H64" s="69"/>
      <c r="I64" s="69"/>
      <c r="J64" s="84"/>
    </row>
    <row r="65" spans="2:10" ht="15.75" thickBot="1" x14ac:dyDescent="0.3">
      <c r="B65" s="83"/>
      <c r="C65" s="67"/>
      <c r="D65" s="67"/>
      <c r="E65" s="67"/>
      <c r="F65" s="67"/>
      <c r="G65" s="67"/>
      <c r="H65" s="77" t="s">
        <v>182</v>
      </c>
      <c r="I65" s="71">
        <f>E63</f>
        <v>27960</v>
      </c>
      <c r="J65" s="84"/>
    </row>
    <row r="66" spans="2:10" x14ac:dyDescent="0.25">
      <c r="B66" s="83"/>
      <c r="C66" s="85"/>
      <c r="D66" s="85"/>
      <c r="E66" s="85"/>
      <c r="F66" s="85"/>
      <c r="G66" s="85"/>
      <c r="H66" s="85"/>
      <c r="I66" s="85"/>
      <c r="J66" s="84"/>
    </row>
    <row r="68" spans="2:10" ht="15.75" thickBot="1" x14ac:dyDescent="0.3"/>
    <row r="69" spans="2:10" ht="21.75" thickBot="1" x14ac:dyDescent="0.4">
      <c r="B69" s="180" t="s">
        <v>40</v>
      </c>
      <c r="C69" s="181"/>
      <c r="D69" s="181"/>
      <c r="E69" s="181"/>
      <c r="F69" s="181"/>
      <c r="G69" s="181"/>
      <c r="H69" s="182"/>
      <c r="I69" s="183">
        <f>I65+I43+I21</f>
        <v>139800</v>
      </c>
      <c r="J69" s="184"/>
    </row>
  </sheetData>
  <mergeCells count="18">
    <mergeCell ref="B69:H69"/>
    <mergeCell ref="I69:J69"/>
    <mergeCell ref="C7:E7"/>
    <mergeCell ref="G7:I7"/>
    <mergeCell ref="C46:I46"/>
    <mergeCell ref="C41:D41"/>
    <mergeCell ref="G41:H41"/>
    <mergeCell ref="C48:C49"/>
    <mergeCell ref="C51:E51"/>
    <mergeCell ref="C63:D63"/>
    <mergeCell ref="C2:I2"/>
    <mergeCell ref="C24:I24"/>
    <mergeCell ref="C29:E29"/>
    <mergeCell ref="G29:I29"/>
    <mergeCell ref="C4:C5"/>
    <mergeCell ref="C26:C27"/>
    <mergeCell ref="C19:D19"/>
    <mergeCell ref="G19:H19"/>
  </mergeCells>
  <phoneticPr fontId="4" type="noConversion"/>
  <dataValidations count="1">
    <dataValidation type="whole" allowBlank="1" showInputMessage="1" showErrorMessage="1" sqref="E5:E6 I27 E27:E28 E49:E50" xr:uid="{8D8F9BD6-3B0A-4967-BE6B-796A5962948C}">
      <formula1>0</formula1>
      <formula2>25</formula2>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169B7-3FA4-49C3-B53C-30BF85841B87}">
  <dimension ref="B2:D9"/>
  <sheetViews>
    <sheetView workbookViewId="0">
      <selection activeCell="C10" sqref="C10"/>
    </sheetView>
  </sheetViews>
  <sheetFormatPr defaultRowHeight="15" x14ac:dyDescent="0.25"/>
  <cols>
    <col min="2" max="2" width="17.5703125" bestFit="1" customWidth="1"/>
    <col min="3" max="3" width="13.85546875" customWidth="1"/>
    <col min="4" max="4" width="13.42578125" bestFit="1" customWidth="1"/>
  </cols>
  <sheetData>
    <row r="2" spans="2:4" x14ac:dyDescent="0.25">
      <c r="B2" s="1" t="s">
        <v>8</v>
      </c>
      <c r="C2" s="1" t="s">
        <v>12</v>
      </c>
      <c r="D2" s="61" t="s">
        <v>170</v>
      </c>
    </row>
    <row r="3" spans="2:4" x14ac:dyDescent="0.25">
      <c r="B3" t="s">
        <v>14</v>
      </c>
      <c r="C3" t="s">
        <v>14</v>
      </c>
      <c r="D3" t="s">
        <v>171</v>
      </c>
    </row>
    <row r="4" spans="2:4" x14ac:dyDescent="0.25">
      <c r="B4" t="s">
        <v>9</v>
      </c>
      <c r="C4" t="s">
        <v>19</v>
      </c>
      <c r="D4" t="s">
        <v>172</v>
      </c>
    </row>
    <row r="5" spans="2:4" x14ac:dyDescent="0.25">
      <c r="B5" t="s">
        <v>10</v>
      </c>
      <c r="C5" t="s">
        <v>153</v>
      </c>
      <c r="D5" t="s">
        <v>173</v>
      </c>
    </row>
    <row r="6" spans="2:4" x14ac:dyDescent="0.25">
      <c r="B6" t="s">
        <v>11</v>
      </c>
      <c r="C6" t="s">
        <v>244</v>
      </c>
    </row>
    <row r="7" spans="2:4" x14ac:dyDescent="0.25">
      <c r="C7" t="s">
        <v>245</v>
      </c>
    </row>
    <row r="8" spans="2:4" x14ac:dyDescent="0.25">
      <c r="C8" t="s">
        <v>246</v>
      </c>
    </row>
    <row r="9" spans="2:4" x14ac:dyDescent="0.25">
      <c r="C9" t="s">
        <v>247</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9AE7-2EC7-40BE-83CE-31E8ED953D72}">
  <dimension ref="A1:E60"/>
  <sheetViews>
    <sheetView tabSelected="1" topLeftCell="A68" zoomScale="90" zoomScaleNormal="90" workbookViewId="0">
      <selection activeCell="E60" sqref="E60"/>
    </sheetView>
  </sheetViews>
  <sheetFormatPr defaultColWidth="9.140625" defaultRowHeight="15" x14ac:dyDescent="0.25"/>
  <cols>
    <col min="1" max="1" width="6.5703125" style="30" customWidth="1"/>
    <col min="2" max="2" width="28.85546875" style="31" customWidth="1"/>
    <col min="3" max="3" width="63.85546875" style="32" customWidth="1"/>
    <col min="4" max="4" width="29.42578125" style="33" customWidth="1"/>
    <col min="5" max="5" width="68.7109375" style="32" customWidth="1"/>
    <col min="6" max="6" width="25.28515625" style="17" customWidth="1"/>
    <col min="7" max="16384" width="9.140625" style="17"/>
  </cols>
  <sheetData>
    <row r="1" spans="1:5" s="16" customFormat="1" ht="25.5" x14ac:dyDescent="0.25">
      <c r="A1" s="13" t="s">
        <v>46</v>
      </c>
      <c r="B1" s="14" t="s">
        <v>47</v>
      </c>
      <c r="C1" s="15" t="s">
        <v>48</v>
      </c>
      <c r="D1" s="13" t="s">
        <v>49</v>
      </c>
      <c r="E1" s="15" t="s">
        <v>50</v>
      </c>
    </row>
    <row r="2" spans="1:5" ht="24" customHeight="1" x14ac:dyDescent="0.25">
      <c r="A2" s="185">
        <v>1</v>
      </c>
      <c r="B2" s="186" t="s">
        <v>51</v>
      </c>
      <c r="C2" s="187" t="s">
        <v>52</v>
      </c>
      <c r="D2" s="185" t="s">
        <v>53</v>
      </c>
      <c r="E2" s="188" t="s">
        <v>54</v>
      </c>
    </row>
    <row r="3" spans="1:5" x14ac:dyDescent="0.25">
      <c r="A3" s="185"/>
      <c r="B3" s="186"/>
      <c r="C3" s="187"/>
      <c r="D3" s="185"/>
      <c r="E3" s="188"/>
    </row>
    <row r="4" spans="1:5" ht="76.900000000000006" customHeight="1" x14ac:dyDescent="0.25">
      <c r="A4" s="185"/>
      <c r="B4" s="186"/>
      <c r="C4" s="187"/>
      <c r="D4" s="185"/>
      <c r="E4" s="188"/>
    </row>
    <row r="5" spans="1:5" ht="24" customHeight="1" x14ac:dyDescent="0.25">
      <c r="A5" s="185">
        <v>2</v>
      </c>
      <c r="B5" s="186" t="s">
        <v>55</v>
      </c>
      <c r="C5" s="187" t="s">
        <v>56</v>
      </c>
      <c r="D5" s="185" t="s">
        <v>57</v>
      </c>
      <c r="E5" s="188" t="s">
        <v>58</v>
      </c>
    </row>
    <row r="6" spans="1:5" x14ac:dyDescent="0.25">
      <c r="A6" s="185"/>
      <c r="B6" s="186"/>
      <c r="C6" s="187"/>
      <c r="D6" s="185"/>
      <c r="E6" s="188"/>
    </row>
    <row r="7" spans="1:5" ht="66" customHeight="1" x14ac:dyDescent="0.25">
      <c r="A7" s="185"/>
      <c r="B7" s="186"/>
      <c r="C7" s="187"/>
      <c r="D7" s="185"/>
      <c r="E7" s="188"/>
    </row>
    <row r="8" spans="1:5" ht="96" customHeight="1" x14ac:dyDescent="0.25">
      <c r="A8" s="185">
        <v>3</v>
      </c>
      <c r="B8" s="186" t="s">
        <v>59</v>
      </c>
      <c r="C8" s="187" t="s">
        <v>60</v>
      </c>
      <c r="D8" s="185" t="s">
        <v>61</v>
      </c>
      <c r="E8" s="188" t="s">
        <v>62</v>
      </c>
    </row>
    <row r="9" spans="1:5" x14ac:dyDescent="0.25">
      <c r="A9" s="185"/>
      <c r="B9" s="186"/>
      <c r="C9" s="187"/>
      <c r="D9" s="185"/>
      <c r="E9" s="188"/>
    </row>
    <row r="10" spans="1:5" x14ac:dyDescent="0.25">
      <c r="A10" s="185"/>
      <c r="B10" s="186"/>
      <c r="C10" s="187"/>
      <c r="D10" s="185"/>
      <c r="E10" s="188"/>
    </row>
    <row r="11" spans="1:5" ht="108" customHeight="1" x14ac:dyDescent="0.25">
      <c r="A11" s="185">
        <v>4</v>
      </c>
      <c r="B11" s="186" t="s">
        <v>63</v>
      </c>
      <c r="C11" s="187" t="s">
        <v>64</v>
      </c>
      <c r="D11" s="185" t="s">
        <v>65</v>
      </c>
      <c r="E11" s="187" t="s">
        <v>66</v>
      </c>
    </row>
    <row r="12" spans="1:5" x14ac:dyDescent="0.25">
      <c r="A12" s="185"/>
      <c r="B12" s="186"/>
      <c r="C12" s="187"/>
      <c r="D12" s="185"/>
      <c r="E12" s="187"/>
    </row>
    <row r="13" spans="1:5" x14ac:dyDescent="0.25">
      <c r="A13" s="185"/>
      <c r="B13" s="186"/>
      <c r="C13" s="187"/>
      <c r="D13" s="185"/>
      <c r="E13" s="187"/>
    </row>
    <row r="14" spans="1:5" ht="45" customHeight="1" x14ac:dyDescent="0.25">
      <c r="A14" s="185"/>
      <c r="B14" s="186"/>
      <c r="C14" s="187"/>
      <c r="D14" s="185"/>
      <c r="E14" s="187"/>
    </row>
    <row r="15" spans="1:5" ht="93" customHeight="1" x14ac:dyDescent="0.25">
      <c r="A15" s="185" t="s">
        <v>67</v>
      </c>
      <c r="B15" s="186" t="s">
        <v>68</v>
      </c>
      <c r="C15" s="187" t="s">
        <v>69</v>
      </c>
      <c r="D15" s="185" t="s">
        <v>70</v>
      </c>
      <c r="E15" s="187" t="s">
        <v>71</v>
      </c>
    </row>
    <row r="16" spans="1:5" hidden="1" x14ac:dyDescent="0.25">
      <c r="A16" s="185"/>
      <c r="B16" s="186"/>
      <c r="C16" s="187"/>
      <c r="D16" s="185"/>
      <c r="E16" s="187"/>
    </row>
    <row r="17" spans="1:5" hidden="1" x14ac:dyDescent="0.25">
      <c r="A17" s="185"/>
      <c r="B17" s="186"/>
      <c r="C17" s="187"/>
      <c r="D17" s="185"/>
      <c r="E17" s="187"/>
    </row>
    <row r="18" spans="1:5" ht="96" customHeight="1" x14ac:dyDescent="0.25">
      <c r="A18" s="185" t="s">
        <v>72</v>
      </c>
      <c r="B18" s="186" t="s">
        <v>73</v>
      </c>
      <c r="C18" s="187" t="s">
        <v>74</v>
      </c>
      <c r="D18" s="185" t="s">
        <v>75</v>
      </c>
      <c r="E18" s="187" t="s">
        <v>76</v>
      </c>
    </row>
    <row r="19" spans="1:5" x14ac:dyDescent="0.25">
      <c r="A19" s="185"/>
      <c r="B19" s="186"/>
      <c r="C19" s="187"/>
      <c r="D19" s="185"/>
      <c r="E19" s="187"/>
    </row>
    <row r="20" spans="1:5" x14ac:dyDescent="0.25">
      <c r="A20" s="185"/>
      <c r="B20" s="186"/>
      <c r="C20" s="187"/>
      <c r="D20" s="185"/>
      <c r="E20" s="187"/>
    </row>
    <row r="21" spans="1:5" ht="16.149999999999999" customHeight="1" x14ac:dyDescent="0.25">
      <c r="A21" s="185"/>
      <c r="B21" s="186"/>
      <c r="C21" s="187"/>
      <c r="D21" s="185"/>
      <c r="E21" s="187"/>
    </row>
    <row r="22" spans="1:5" ht="67.150000000000006" customHeight="1" x14ac:dyDescent="0.25">
      <c r="A22" s="185" t="s">
        <v>77</v>
      </c>
      <c r="B22" s="186" t="s">
        <v>78</v>
      </c>
      <c r="C22" s="187" t="s">
        <v>79</v>
      </c>
      <c r="D22" s="185" t="s">
        <v>80</v>
      </c>
      <c r="E22" s="187" t="s">
        <v>81</v>
      </c>
    </row>
    <row r="23" spans="1:5" hidden="1" x14ac:dyDescent="0.25">
      <c r="A23" s="185"/>
      <c r="B23" s="186"/>
      <c r="C23" s="187"/>
      <c r="D23" s="185"/>
      <c r="E23" s="187"/>
    </row>
    <row r="24" spans="1:5" ht="5.45" hidden="1" customHeight="1" x14ac:dyDescent="0.25">
      <c r="A24" s="185"/>
      <c r="B24" s="186"/>
      <c r="C24" s="187"/>
      <c r="D24" s="185"/>
      <c r="E24" s="187"/>
    </row>
    <row r="25" spans="1:5" hidden="1" x14ac:dyDescent="0.25">
      <c r="A25" s="185"/>
      <c r="B25" s="186"/>
      <c r="C25" s="187"/>
      <c r="D25" s="185"/>
      <c r="E25" s="187"/>
    </row>
    <row r="26" spans="1:5" ht="72" customHeight="1" x14ac:dyDescent="0.25">
      <c r="A26" s="185">
        <v>8</v>
      </c>
      <c r="B26" s="189" t="s">
        <v>82</v>
      </c>
      <c r="C26" s="187" t="s">
        <v>83</v>
      </c>
      <c r="D26" s="185" t="s">
        <v>84</v>
      </c>
      <c r="E26" s="188" t="s">
        <v>85</v>
      </c>
    </row>
    <row r="27" spans="1:5" x14ac:dyDescent="0.25">
      <c r="A27" s="185"/>
      <c r="B27" s="189"/>
      <c r="C27" s="187"/>
      <c r="D27" s="185"/>
      <c r="E27" s="188"/>
    </row>
    <row r="28" spans="1:5" ht="19.149999999999999" customHeight="1" x14ac:dyDescent="0.25">
      <c r="A28" s="185"/>
      <c r="B28" s="189"/>
      <c r="C28" s="187"/>
      <c r="D28" s="185"/>
      <c r="E28" s="188"/>
    </row>
    <row r="29" spans="1:5" ht="63.6" customHeight="1" x14ac:dyDescent="0.25">
      <c r="A29" s="185" t="s">
        <v>86</v>
      </c>
      <c r="B29" s="186" t="s">
        <v>87</v>
      </c>
      <c r="C29" s="187" t="s">
        <v>88</v>
      </c>
      <c r="D29" s="185" t="s">
        <v>89</v>
      </c>
      <c r="E29" s="188" t="s">
        <v>90</v>
      </c>
    </row>
    <row r="30" spans="1:5" hidden="1" x14ac:dyDescent="0.25">
      <c r="A30" s="185"/>
      <c r="B30" s="186"/>
      <c r="C30" s="187"/>
      <c r="D30" s="185"/>
      <c r="E30" s="188"/>
    </row>
    <row r="31" spans="1:5" hidden="1" x14ac:dyDescent="0.25">
      <c r="A31" s="185"/>
      <c r="B31" s="186"/>
      <c r="C31" s="187"/>
      <c r="D31" s="185"/>
      <c r="E31" s="188"/>
    </row>
    <row r="32" spans="1:5" x14ac:dyDescent="0.25">
      <c r="A32" s="185" t="s">
        <v>91</v>
      </c>
      <c r="B32" s="186" t="s">
        <v>92</v>
      </c>
      <c r="C32" s="187" t="s">
        <v>93</v>
      </c>
      <c r="D32" s="185" t="s">
        <v>94</v>
      </c>
      <c r="E32" s="188" t="s">
        <v>95</v>
      </c>
    </row>
    <row r="33" spans="1:5" x14ac:dyDescent="0.25">
      <c r="A33" s="185"/>
      <c r="B33" s="186"/>
      <c r="C33" s="187"/>
      <c r="D33" s="185"/>
      <c r="E33" s="188"/>
    </row>
    <row r="34" spans="1:5" x14ac:dyDescent="0.25">
      <c r="A34" s="185"/>
      <c r="B34" s="186"/>
      <c r="C34" s="187"/>
      <c r="D34" s="185"/>
      <c r="E34" s="188"/>
    </row>
    <row r="35" spans="1:5" ht="18.600000000000001" customHeight="1" x14ac:dyDescent="0.25">
      <c r="A35" s="185"/>
      <c r="B35" s="186"/>
      <c r="C35" s="187"/>
      <c r="D35" s="185"/>
      <c r="E35" s="188"/>
    </row>
    <row r="36" spans="1:5" x14ac:dyDescent="0.25">
      <c r="A36" s="185" t="s">
        <v>96</v>
      </c>
      <c r="B36" s="189" t="s">
        <v>97</v>
      </c>
      <c r="C36" s="187" t="s">
        <v>98</v>
      </c>
      <c r="D36" s="185" t="s">
        <v>99</v>
      </c>
      <c r="E36" s="188" t="s">
        <v>100</v>
      </c>
    </row>
    <row r="37" spans="1:5" x14ac:dyDescent="0.25">
      <c r="A37" s="185"/>
      <c r="B37" s="189"/>
      <c r="C37" s="187"/>
      <c r="D37" s="185"/>
      <c r="E37" s="188"/>
    </row>
    <row r="38" spans="1:5" x14ac:dyDescent="0.25">
      <c r="A38" s="185"/>
      <c r="B38" s="189"/>
      <c r="C38" s="187"/>
      <c r="D38" s="185"/>
      <c r="E38" s="188"/>
    </row>
    <row r="39" spans="1:5" x14ac:dyDescent="0.25">
      <c r="A39" s="185"/>
      <c r="B39" s="189"/>
      <c r="C39" s="187"/>
      <c r="D39" s="185"/>
      <c r="E39" s="188"/>
    </row>
    <row r="40" spans="1:5" ht="78" customHeight="1" x14ac:dyDescent="0.25">
      <c r="A40" s="185"/>
      <c r="B40" s="189"/>
      <c r="C40" s="187"/>
      <c r="D40" s="185"/>
      <c r="E40" s="188"/>
    </row>
    <row r="41" spans="1:5" x14ac:dyDescent="0.25">
      <c r="A41" s="185" t="s">
        <v>101</v>
      </c>
      <c r="B41" s="189" t="s">
        <v>102</v>
      </c>
      <c r="C41" s="187" t="s">
        <v>103</v>
      </c>
      <c r="D41" s="185" t="s">
        <v>104</v>
      </c>
      <c r="E41" s="188" t="s">
        <v>105</v>
      </c>
    </row>
    <row r="42" spans="1:5" ht="96" customHeight="1" x14ac:dyDescent="0.25">
      <c r="A42" s="185"/>
      <c r="B42" s="189"/>
      <c r="C42" s="187"/>
      <c r="D42" s="185"/>
      <c r="E42" s="188"/>
    </row>
    <row r="43" spans="1:5" ht="79.900000000000006" customHeight="1" x14ac:dyDescent="0.25">
      <c r="A43" s="18">
        <v>13</v>
      </c>
      <c r="B43" s="19" t="s">
        <v>106</v>
      </c>
      <c r="C43" s="20"/>
      <c r="D43" s="21" t="s">
        <v>107</v>
      </c>
      <c r="E43" s="22" t="s">
        <v>108</v>
      </c>
    </row>
    <row r="44" spans="1:5" ht="39" x14ac:dyDescent="0.25">
      <c r="A44" s="18">
        <v>14</v>
      </c>
      <c r="B44" s="19" t="s">
        <v>109</v>
      </c>
      <c r="C44" s="20"/>
      <c r="D44" s="21" t="s">
        <v>110</v>
      </c>
      <c r="E44" s="22" t="s">
        <v>111</v>
      </c>
    </row>
    <row r="45" spans="1:5" ht="51.75" x14ac:dyDescent="0.25">
      <c r="A45" s="18">
        <v>15</v>
      </c>
      <c r="B45" s="19" t="s">
        <v>112</v>
      </c>
      <c r="C45" s="20"/>
      <c r="D45" s="21" t="s">
        <v>113</v>
      </c>
      <c r="E45" s="22" t="s">
        <v>114</v>
      </c>
    </row>
    <row r="46" spans="1:5" ht="48" customHeight="1" x14ac:dyDescent="0.25">
      <c r="A46" s="18">
        <v>16</v>
      </c>
      <c r="B46" s="19" t="s">
        <v>115</v>
      </c>
      <c r="C46" s="20"/>
      <c r="D46" s="23" t="s">
        <v>116</v>
      </c>
      <c r="E46" s="24" t="s">
        <v>117</v>
      </c>
    </row>
    <row r="47" spans="1:5" ht="51.75" x14ac:dyDescent="0.25">
      <c r="A47" s="18">
        <v>17</v>
      </c>
      <c r="B47" s="19" t="s">
        <v>118</v>
      </c>
      <c r="C47" s="20"/>
      <c r="D47" s="23" t="s">
        <v>119</v>
      </c>
      <c r="E47" s="24" t="s">
        <v>120</v>
      </c>
    </row>
    <row r="48" spans="1:5" ht="39" x14ac:dyDescent="0.25">
      <c r="A48" s="18">
        <v>18</v>
      </c>
      <c r="B48" s="19" t="s">
        <v>121</v>
      </c>
      <c r="C48" s="20"/>
      <c r="D48" s="23" t="s">
        <v>122</v>
      </c>
      <c r="E48" s="24" t="s">
        <v>123</v>
      </c>
    </row>
    <row r="49" spans="1:5" ht="115.5" x14ac:dyDescent="0.25">
      <c r="A49" s="18">
        <v>19</v>
      </c>
      <c r="B49" s="19" t="s">
        <v>124</v>
      </c>
      <c r="C49" s="20"/>
      <c r="D49" s="21" t="s">
        <v>125</v>
      </c>
      <c r="E49" s="24" t="s">
        <v>126</v>
      </c>
    </row>
    <row r="50" spans="1:5" ht="102" x14ac:dyDescent="0.25">
      <c r="A50" s="18">
        <v>20</v>
      </c>
      <c r="B50" s="19" t="s">
        <v>127</v>
      </c>
      <c r="C50" s="20"/>
      <c r="D50" s="21" t="s">
        <v>128</v>
      </c>
      <c r="E50" s="24" t="s">
        <v>129</v>
      </c>
    </row>
    <row r="51" spans="1:5" ht="115.5" x14ac:dyDescent="0.25">
      <c r="A51" s="18">
        <v>21</v>
      </c>
      <c r="B51" s="19" t="s">
        <v>130</v>
      </c>
      <c r="C51" s="20"/>
      <c r="D51" s="21" t="s">
        <v>131</v>
      </c>
      <c r="E51" s="24" t="s">
        <v>132</v>
      </c>
    </row>
    <row r="52" spans="1:5" ht="39" x14ac:dyDescent="0.25">
      <c r="A52" s="18">
        <v>22</v>
      </c>
      <c r="B52" s="19" t="s">
        <v>133</v>
      </c>
      <c r="C52" s="20"/>
      <c r="D52" s="25" t="s">
        <v>134</v>
      </c>
      <c r="E52" s="24" t="s">
        <v>135</v>
      </c>
    </row>
    <row r="53" spans="1:5" ht="96" customHeight="1" x14ac:dyDescent="0.25">
      <c r="A53" s="18">
        <v>23</v>
      </c>
      <c r="B53" s="19" t="s">
        <v>136</v>
      </c>
      <c r="C53" s="20"/>
      <c r="D53" s="26" t="s">
        <v>137</v>
      </c>
      <c r="E53" s="24" t="s">
        <v>138</v>
      </c>
    </row>
    <row r="54" spans="1:5" ht="66.599999999999994" customHeight="1" x14ac:dyDescent="0.25">
      <c r="A54" s="18">
        <v>24</v>
      </c>
      <c r="B54" s="19" t="s">
        <v>139</v>
      </c>
      <c r="C54" s="20"/>
      <c r="D54" s="25" t="s">
        <v>140</v>
      </c>
      <c r="E54" s="24" t="s">
        <v>141</v>
      </c>
    </row>
    <row r="55" spans="1:5" ht="90" x14ac:dyDescent="0.25">
      <c r="A55" s="18">
        <v>25</v>
      </c>
      <c r="B55" s="27" t="s">
        <v>142</v>
      </c>
      <c r="C55" s="24" t="s">
        <v>143</v>
      </c>
      <c r="D55" s="25" t="s">
        <v>144</v>
      </c>
      <c r="E55" s="22" t="s">
        <v>145</v>
      </c>
    </row>
    <row r="56" spans="1:5" ht="112.15" customHeight="1" x14ac:dyDescent="0.25">
      <c r="A56" s="18">
        <v>26</v>
      </c>
      <c r="B56" s="27" t="s">
        <v>146</v>
      </c>
      <c r="C56" s="20"/>
      <c r="D56" s="28" t="s">
        <v>147</v>
      </c>
      <c r="E56" s="24" t="s">
        <v>148</v>
      </c>
    </row>
    <row r="57" spans="1:5" ht="26.25" x14ac:dyDescent="0.25">
      <c r="A57" s="18">
        <v>27</v>
      </c>
      <c r="B57" s="19" t="s">
        <v>149</v>
      </c>
      <c r="C57" s="20"/>
      <c r="D57" s="29">
        <v>2400</v>
      </c>
      <c r="E57" s="22" t="s">
        <v>150</v>
      </c>
    </row>
    <row r="58" spans="1:5" ht="26.25" x14ac:dyDescent="0.25">
      <c r="A58" s="18">
        <v>28</v>
      </c>
      <c r="B58" s="19" t="s">
        <v>151</v>
      </c>
      <c r="C58" s="20"/>
      <c r="D58" s="29">
        <v>430</v>
      </c>
      <c r="E58" s="22" t="s">
        <v>150</v>
      </c>
    </row>
    <row r="59" spans="1:5" ht="26.25" x14ac:dyDescent="0.25">
      <c r="A59" s="18">
        <v>29</v>
      </c>
      <c r="B59" s="19" t="s">
        <v>152</v>
      </c>
      <c r="C59" s="20"/>
      <c r="D59" s="29">
        <v>1500</v>
      </c>
      <c r="E59" s="22" t="s">
        <v>150</v>
      </c>
    </row>
    <row r="60" spans="1:5" ht="25.5" x14ac:dyDescent="0.25">
      <c r="A60" s="18">
        <v>30</v>
      </c>
      <c r="B60" s="90" t="s">
        <v>241</v>
      </c>
      <c r="C60" s="20" t="s">
        <v>242</v>
      </c>
      <c r="D60" s="23" t="s">
        <v>243</v>
      </c>
      <c r="E60" s="22"/>
    </row>
  </sheetData>
  <mergeCells count="60">
    <mergeCell ref="A36:A40"/>
    <mergeCell ref="B36:B40"/>
    <mergeCell ref="C36:C40"/>
    <mergeCell ref="D36:D40"/>
    <mergeCell ref="E36:E40"/>
    <mergeCell ref="A41:A42"/>
    <mergeCell ref="B41:B42"/>
    <mergeCell ref="C41:C42"/>
    <mergeCell ref="D41:D42"/>
    <mergeCell ref="E41:E42"/>
    <mergeCell ref="A29:A31"/>
    <mergeCell ref="B29:B31"/>
    <mergeCell ref="C29:C31"/>
    <mergeCell ref="D29:D31"/>
    <mergeCell ref="E29:E31"/>
    <mergeCell ref="A32:A35"/>
    <mergeCell ref="B32:B35"/>
    <mergeCell ref="C32:C35"/>
    <mergeCell ref="D32:D35"/>
    <mergeCell ref="E32:E35"/>
    <mergeCell ref="A22:A25"/>
    <mergeCell ref="B22:B25"/>
    <mergeCell ref="C22:C25"/>
    <mergeCell ref="D22:D25"/>
    <mergeCell ref="E22:E25"/>
    <mergeCell ref="A26:A28"/>
    <mergeCell ref="B26:B28"/>
    <mergeCell ref="C26:C28"/>
    <mergeCell ref="D26:D28"/>
    <mergeCell ref="E26:E28"/>
    <mergeCell ref="A15:A17"/>
    <mergeCell ref="B15:B17"/>
    <mergeCell ref="C15:C17"/>
    <mergeCell ref="D15:D17"/>
    <mergeCell ref="E15:E17"/>
    <mergeCell ref="A18:A21"/>
    <mergeCell ref="B18:B21"/>
    <mergeCell ref="C18:C21"/>
    <mergeCell ref="D18:D21"/>
    <mergeCell ref="E18:E21"/>
    <mergeCell ref="A8:A10"/>
    <mergeCell ref="B8:B10"/>
    <mergeCell ref="C8:C10"/>
    <mergeCell ref="D8:D10"/>
    <mergeCell ref="E8:E10"/>
    <mergeCell ref="A11:A14"/>
    <mergeCell ref="B11:B14"/>
    <mergeCell ref="C11:C14"/>
    <mergeCell ref="D11:D14"/>
    <mergeCell ref="E11:E14"/>
    <mergeCell ref="A2:A4"/>
    <mergeCell ref="B2:B4"/>
    <mergeCell ref="C2:C4"/>
    <mergeCell ref="D2:D4"/>
    <mergeCell ref="E2:E4"/>
    <mergeCell ref="A5:A7"/>
    <mergeCell ref="B5:B7"/>
    <mergeCell ref="C5:C7"/>
    <mergeCell ref="D5:D7"/>
    <mergeCell ref="E5:E7"/>
  </mergeCells>
  <hyperlinks>
    <hyperlink ref="E44" r:id="rId1" xr:uid="{05CF8EC6-E77B-419A-B3E2-9A1DE178EB48}"/>
    <hyperlink ref="E45" r:id="rId2" xr:uid="{3FC81A7E-ECA8-481D-8452-C8B7634C93DB}"/>
    <hyperlink ref="E55" r:id="rId3" display="https://semastudio.pl/cennik-filmow/" xr:uid="{21B77F2A-BDC5-4BB9-A146-B52A329C9414}"/>
    <hyperlink ref="E57" r:id="rId4" xr:uid="{CEC99B34-F178-409A-942B-C41319330B13}"/>
    <hyperlink ref="E58:E60" r:id="rId5" display="https://www.funduszeeuropejskie.gov.pl/media/98256/Zal_3_.pdf (taryfikator 4.1 POWER 2021)" xr:uid="{2F1DF90F-12E1-4FCA-8FC3-6D1D1EDF577F}"/>
    <hyperlink ref="E43" r:id="rId6" display="https://zarobki.pracuj.pl/stanowiska/it-rozwoj-oprogramowania/tester-oprogramowania-ekspert" xr:uid="{5B71EF58-850D-477F-8324-ABE02B9292DE}"/>
  </hyperlinks>
  <pageMargins left="0.7" right="0.7" top="0.75" bottom="0.75" header="0.3" footer="0.3"/>
  <pageSetup paperSize="9"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6</vt:i4>
      </vt:variant>
    </vt:vector>
  </HeadingPairs>
  <TitlesOfParts>
    <vt:vector size="12" baseType="lpstr">
      <vt:lpstr>Etap 1</vt:lpstr>
      <vt:lpstr>Etap 2</vt:lpstr>
      <vt:lpstr>Etap 3</vt:lpstr>
      <vt:lpstr>Podsumowanie</vt:lpstr>
      <vt:lpstr>Robocze</vt:lpstr>
      <vt:lpstr>Taryfikator</vt:lpstr>
      <vt:lpstr>Taryfikator!_ftn1</vt:lpstr>
      <vt:lpstr>Taryfikator!_ftn2</vt:lpstr>
      <vt:lpstr>Taryfikator!_ftn3</vt:lpstr>
      <vt:lpstr>Taryfikator!_ftnref1</vt:lpstr>
      <vt:lpstr>Taryfikator!_ftnref2</vt:lpstr>
      <vt:lpstr>Taryfikator!_ftnref3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B</dc:creator>
  <cp:lastModifiedBy>M B</cp:lastModifiedBy>
  <dcterms:created xsi:type="dcterms:W3CDTF">2015-06-05T18:19:34Z</dcterms:created>
  <dcterms:modified xsi:type="dcterms:W3CDTF">2021-06-21T06:30:03Z</dcterms:modified>
</cp:coreProperties>
</file>