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X:\05. EFS 2014-2020\21. POPO 2.0\04. Zarządzanie\02. Procedury\Komplet dokumentów_Popojutrze2.0_01.07.2021\"/>
    </mc:Choice>
  </mc:AlternateContent>
  <xr:revisionPtr revIDLastSave="0" documentId="13_ncr:1_{0B96F948-6815-4BDD-B882-C4F1713D3C53}" xr6:coauthVersionLast="47" xr6:coauthVersionMax="47" xr10:uidLastSave="{00000000-0000-0000-0000-000000000000}"/>
  <bookViews>
    <workbookView xWindow="-108" yWindow="-108" windowWidth="23256" windowHeight="12456" xr2:uid="{00000000-000D-0000-FFFF-FFFF00000000}"/>
  </bookViews>
  <sheets>
    <sheet name="Podsumowanie" sheetId="1" r:id="rId1"/>
    <sheet name="Etap 1 - prototyp" sheetId="2" r:id="rId2"/>
    <sheet name="Etap 1 - testowanie" sheetId="11" r:id="rId3"/>
    <sheet name="Etap 1 - wskaźniki i ryzyko" sheetId="12" r:id="rId4"/>
    <sheet name="Etap 2 - prototyp" sheetId="9" r:id="rId5"/>
    <sheet name="Etap 2 - testowanie" sheetId="14" r:id="rId6"/>
    <sheet name="Etap 2 - wskaźniki i ryzyko" sheetId="13" r:id="rId7"/>
    <sheet name="Etap 3 - prototyp" sheetId="10" r:id="rId8"/>
    <sheet name="Etap 3 - wskaźniki i ryzyko" sheetId="15" r:id="rId9"/>
    <sheet name="Robocze" sheetId="4" state="hidden" r:id="rId10"/>
    <sheet name="Taryfikator" sheetId="8" r:id="rId11"/>
  </sheets>
  <definedNames>
    <definedName name="_ftn1" localSheetId="10">Taryfikator!$A$46</definedName>
    <definedName name="_ftn2" localSheetId="10">Taryfikator!$A$48</definedName>
    <definedName name="_ftn3" localSheetId="10">Taryfikator!$A$49</definedName>
    <definedName name="_ftnref1" localSheetId="10">Taryfikator!$B$26</definedName>
    <definedName name="_ftnref2" localSheetId="10">Taryfikator!$B$36</definedName>
    <definedName name="_ftnref3" localSheetId="10">Taryfikator!$B$41</definedName>
    <definedName name="_xlnm.Print_Area" localSheetId="10">Taryfikator!$A$1:$E$60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 l="1"/>
  <c r="H33" i="1"/>
  <c r="H34" i="1"/>
  <c r="H35" i="1"/>
  <c r="H36" i="1"/>
  <c r="H37" i="1"/>
  <c r="H38" i="1"/>
  <c r="H39" i="1"/>
  <c r="H40" i="1"/>
  <c r="H31" i="1"/>
  <c r="H21" i="2"/>
  <c r="H10" i="1"/>
  <c r="H11" i="1"/>
  <c r="H12" i="1"/>
  <c r="H13" i="1"/>
  <c r="H14" i="1"/>
  <c r="H15" i="1"/>
  <c r="H16" i="1"/>
  <c r="H17" i="1"/>
  <c r="H18" i="1"/>
  <c r="H9" i="1"/>
  <c r="E49" i="1"/>
  <c r="E48" i="1"/>
  <c r="E27" i="1"/>
  <c r="E26" i="1"/>
  <c r="E5" i="1"/>
  <c r="E4" i="1"/>
  <c r="H138" i="10"/>
  <c r="H139" i="10"/>
  <c r="H140" i="10"/>
  <c r="H141" i="10"/>
  <c r="H142" i="10"/>
  <c r="H143" i="10"/>
  <c r="H144" i="10"/>
  <c r="H145" i="10"/>
  <c r="H146" i="10"/>
  <c r="H137" i="10"/>
  <c r="H125" i="10"/>
  <c r="H126" i="10"/>
  <c r="H127" i="10"/>
  <c r="H128" i="10"/>
  <c r="H129" i="10"/>
  <c r="H130" i="10"/>
  <c r="H131" i="10"/>
  <c r="H132" i="10"/>
  <c r="H133" i="10"/>
  <c r="H124" i="10"/>
  <c r="H112" i="10"/>
  <c r="H113" i="10"/>
  <c r="H114" i="10"/>
  <c r="H115" i="10"/>
  <c r="H116" i="10"/>
  <c r="H117" i="10"/>
  <c r="H118" i="10"/>
  <c r="H119" i="10"/>
  <c r="H120" i="10"/>
  <c r="H111" i="10"/>
  <c r="H99" i="10"/>
  <c r="H100" i="10"/>
  <c r="H101" i="10"/>
  <c r="H102" i="10"/>
  <c r="H103" i="10"/>
  <c r="H104" i="10"/>
  <c r="H105" i="10"/>
  <c r="H106" i="10"/>
  <c r="H107" i="10"/>
  <c r="H98" i="10"/>
  <c r="H86" i="10"/>
  <c r="H87" i="10"/>
  <c r="H88" i="10"/>
  <c r="H89" i="10"/>
  <c r="H90" i="10"/>
  <c r="H91" i="10"/>
  <c r="H92" i="10"/>
  <c r="H93" i="10"/>
  <c r="H94" i="10"/>
  <c r="H85" i="10"/>
  <c r="H73" i="10"/>
  <c r="H74" i="10"/>
  <c r="H75" i="10"/>
  <c r="H76" i="10"/>
  <c r="H77" i="10"/>
  <c r="H78" i="10"/>
  <c r="H79" i="10"/>
  <c r="H80" i="10"/>
  <c r="H81" i="10"/>
  <c r="H72" i="10"/>
  <c r="H60" i="10"/>
  <c r="H61" i="10"/>
  <c r="H62" i="10"/>
  <c r="H63" i="10"/>
  <c r="H64" i="10"/>
  <c r="H65" i="10"/>
  <c r="H66" i="10"/>
  <c r="H67" i="10"/>
  <c r="H68" i="10"/>
  <c r="H59" i="10"/>
  <c r="H47" i="10"/>
  <c r="H48" i="10"/>
  <c r="H49" i="10"/>
  <c r="H50" i="10"/>
  <c r="H51" i="10"/>
  <c r="H52" i="10"/>
  <c r="H53" i="10"/>
  <c r="H54" i="10"/>
  <c r="H55" i="10"/>
  <c r="H46" i="10"/>
  <c r="H34" i="10"/>
  <c r="H35" i="10"/>
  <c r="H36" i="10"/>
  <c r="H37" i="10"/>
  <c r="H38" i="10"/>
  <c r="H39" i="10"/>
  <c r="H40" i="10"/>
  <c r="H41" i="10"/>
  <c r="H42" i="10"/>
  <c r="H33" i="10"/>
  <c r="H21" i="10"/>
  <c r="H22" i="10"/>
  <c r="H23" i="10"/>
  <c r="H24" i="10"/>
  <c r="H25" i="10"/>
  <c r="H26" i="10"/>
  <c r="H27" i="10"/>
  <c r="H28" i="10"/>
  <c r="H29" i="10"/>
  <c r="H20" i="10"/>
  <c r="I138" i="14"/>
  <c r="I139" i="14"/>
  <c r="I140" i="14"/>
  <c r="I141" i="14"/>
  <c r="I142" i="14"/>
  <c r="I143" i="14"/>
  <c r="I144" i="14"/>
  <c r="I145" i="14"/>
  <c r="I146" i="14"/>
  <c r="I137" i="14"/>
  <c r="I125" i="14"/>
  <c r="I126" i="14"/>
  <c r="I127" i="14"/>
  <c r="I128" i="14"/>
  <c r="I129" i="14"/>
  <c r="I130" i="14"/>
  <c r="I131" i="14"/>
  <c r="I132" i="14"/>
  <c r="I133" i="14"/>
  <c r="I124" i="14"/>
  <c r="I112" i="14"/>
  <c r="I113" i="14"/>
  <c r="I114" i="14"/>
  <c r="I115" i="14"/>
  <c r="I116" i="14"/>
  <c r="I117" i="14"/>
  <c r="I118" i="14"/>
  <c r="I119" i="14"/>
  <c r="I120" i="14"/>
  <c r="I111" i="14"/>
  <c r="I99" i="14"/>
  <c r="I100" i="14"/>
  <c r="I101" i="14"/>
  <c r="I102" i="14"/>
  <c r="I103" i="14"/>
  <c r="I104" i="14"/>
  <c r="I105" i="14"/>
  <c r="I106" i="14"/>
  <c r="I107" i="14"/>
  <c r="I98" i="14"/>
  <c r="I86" i="14"/>
  <c r="I87" i="14"/>
  <c r="I88" i="14"/>
  <c r="I89" i="14"/>
  <c r="I90" i="14"/>
  <c r="I91" i="14"/>
  <c r="I92" i="14"/>
  <c r="I93" i="14"/>
  <c r="I94" i="14"/>
  <c r="I85" i="14"/>
  <c r="I73" i="14"/>
  <c r="I74" i="14"/>
  <c r="I75" i="14"/>
  <c r="I76" i="14"/>
  <c r="I77" i="14"/>
  <c r="I78" i="14"/>
  <c r="I79" i="14"/>
  <c r="I80" i="14"/>
  <c r="I81" i="14"/>
  <c r="I72" i="14"/>
  <c r="I60" i="14"/>
  <c r="I61" i="14"/>
  <c r="I62" i="14"/>
  <c r="I63" i="14"/>
  <c r="I64" i="14"/>
  <c r="I65" i="14"/>
  <c r="I66" i="14"/>
  <c r="I67" i="14"/>
  <c r="I68" i="14"/>
  <c r="I59" i="14"/>
  <c r="I47" i="14"/>
  <c r="I48" i="14"/>
  <c r="I49" i="14"/>
  <c r="I50" i="14"/>
  <c r="I51" i="14"/>
  <c r="I52" i="14"/>
  <c r="I53" i="14"/>
  <c r="I54" i="14"/>
  <c r="I55" i="14"/>
  <c r="I46" i="14"/>
  <c r="I34" i="14"/>
  <c r="I35" i="14"/>
  <c r="I36" i="14"/>
  <c r="I37" i="14"/>
  <c r="I38" i="14"/>
  <c r="I39" i="14"/>
  <c r="I40" i="14"/>
  <c r="I41" i="14"/>
  <c r="I42" i="14"/>
  <c r="I33" i="14"/>
  <c r="I21" i="14"/>
  <c r="I22" i="14"/>
  <c r="I23" i="14"/>
  <c r="I24" i="14"/>
  <c r="I25" i="14"/>
  <c r="I26" i="14"/>
  <c r="I27" i="14"/>
  <c r="I28" i="14"/>
  <c r="I29" i="14"/>
  <c r="I20" i="14"/>
  <c r="H146" i="9"/>
  <c r="H138" i="9"/>
  <c r="H139" i="9"/>
  <c r="H140" i="9"/>
  <c r="H141" i="9"/>
  <c r="H142" i="9"/>
  <c r="H143" i="9"/>
  <c r="H144" i="9"/>
  <c r="H145" i="9"/>
  <c r="H137" i="9"/>
  <c r="H125" i="9"/>
  <c r="H126" i="9"/>
  <c r="H127" i="9"/>
  <c r="H128" i="9"/>
  <c r="H129" i="9"/>
  <c r="H130" i="9"/>
  <c r="H131" i="9"/>
  <c r="H132" i="9"/>
  <c r="H133" i="9"/>
  <c r="H124" i="9"/>
  <c r="H112" i="9"/>
  <c r="H113" i="9"/>
  <c r="H114" i="9"/>
  <c r="H115" i="9"/>
  <c r="H116" i="9"/>
  <c r="H117" i="9"/>
  <c r="H118" i="9"/>
  <c r="H119" i="9"/>
  <c r="H120" i="9"/>
  <c r="H111" i="9"/>
  <c r="H107" i="9"/>
  <c r="H99" i="9"/>
  <c r="H100" i="9"/>
  <c r="H101" i="9"/>
  <c r="H102" i="9"/>
  <c r="H103" i="9"/>
  <c r="H104" i="9"/>
  <c r="H105" i="9"/>
  <c r="H106" i="9"/>
  <c r="H98" i="9"/>
  <c r="H86" i="9"/>
  <c r="H87" i="9"/>
  <c r="H88" i="9"/>
  <c r="H89" i="9"/>
  <c r="H90" i="9"/>
  <c r="H91" i="9"/>
  <c r="H92" i="9"/>
  <c r="H93" i="9"/>
  <c r="H94" i="9"/>
  <c r="H85" i="9"/>
  <c r="H73" i="9"/>
  <c r="H74" i="9"/>
  <c r="H75" i="9"/>
  <c r="H76" i="9"/>
  <c r="H77" i="9"/>
  <c r="H78" i="9"/>
  <c r="H79" i="9"/>
  <c r="H80" i="9"/>
  <c r="H81" i="9"/>
  <c r="H72" i="9"/>
  <c r="H59" i="9"/>
  <c r="H60" i="9"/>
  <c r="H61" i="9"/>
  <c r="H62" i="9"/>
  <c r="H63" i="9"/>
  <c r="H64" i="9"/>
  <c r="H65" i="9"/>
  <c r="H66" i="9"/>
  <c r="H67" i="9"/>
  <c r="H68" i="9"/>
  <c r="H47" i="9"/>
  <c r="H48" i="9"/>
  <c r="H49" i="9"/>
  <c r="H50" i="9"/>
  <c r="H51" i="9"/>
  <c r="H52" i="9"/>
  <c r="H53" i="9"/>
  <c r="H54" i="9"/>
  <c r="H55" i="9"/>
  <c r="H46" i="9"/>
  <c r="H42" i="9"/>
  <c r="H34" i="9"/>
  <c r="H35" i="9"/>
  <c r="H36" i="9"/>
  <c r="H37" i="9"/>
  <c r="H38" i="9"/>
  <c r="H39" i="9"/>
  <c r="H40" i="9"/>
  <c r="H41" i="9"/>
  <c r="H33" i="9"/>
  <c r="H21" i="9"/>
  <c r="H22" i="9"/>
  <c r="H23" i="9"/>
  <c r="H24" i="9"/>
  <c r="H25" i="9"/>
  <c r="H26" i="9"/>
  <c r="H27" i="9"/>
  <c r="H28" i="9"/>
  <c r="H29" i="9"/>
  <c r="H20" i="9"/>
  <c r="H138" i="11"/>
  <c r="H139" i="11"/>
  <c r="H140" i="11"/>
  <c r="H141" i="11"/>
  <c r="H142" i="11"/>
  <c r="H143" i="11"/>
  <c r="H144" i="11"/>
  <c r="H145" i="11"/>
  <c r="H146" i="11"/>
  <c r="H137" i="11"/>
  <c r="H125" i="11"/>
  <c r="H126" i="11"/>
  <c r="H127" i="11"/>
  <c r="H128" i="11"/>
  <c r="H129" i="11"/>
  <c r="H130" i="11"/>
  <c r="H131" i="11"/>
  <c r="H132" i="11"/>
  <c r="H133" i="11"/>
  <c r="H124" i="11"/>
  <c r="H112" i="11"/>
  <c r="H113" i="11"/>
  <c r="H114" i="11"/>
  <c r="H115" i="11"/>
  <c r="H116" i="11"/>
  <c r="H117" i="11"/>
  <c r="H118" i="11"/>
  <c r="H119" i="11"/>
  <c r="H120" i="11"/>
  <c r="H111" i="11"/>
  <c r="H107" i="11"/>
  <c r="H99" i="11"/>
  <c r="H100" i="11"/>
  <c r="H101" i="11"/>
  <c r="H102" i="11"/>
  <c r="H103" i="11"/>
  <c r="H104" i="11"/>
  <c r="H105" i="11"/>
  <c r="H106" i="11"/>
  <c r="H98" i="11"/>
  <c r="H86" i="11"/>
  <c r="H87" i="11"/>
  <c r="H88" i="11"/>
  <c r="H89" i="11"/>
  <c r="H90" i="11"/>
  <c r="H91" i="11"/>
  <c r="H92" i="11"/>
  <c r="H93" i="11"/>
  <c r="H94" i="11"/>
  <c r="H85" i="11"/>
  <c r="H81" i="11"/>
  <c r="H73" i="11"/>
  <c r="H74" i="11"/>
  <c r="H75" i="11"/>
  <c r="H76" i="11"/>
  <c r="H77" i="11"/>
  <c r="H78" i="11"/>
  <c r="H79" i="11"/>
  <c r="H80" i="11"/>
  <c r="H72" i="11"/>
  <c r="H68" i="11"/>
  <c r="H60" i="11"/>
  <c r="H61" i="11"/>
  <c r="H62" i="11"/>
  <c r="H63" i="11"/>
  <c r="H64" i="11"/>
  <c r="H65" i="11"/>
  <c r="H66" i="11"/>
  <c r="H67" i="11"/>
  <c r="H59" i="11"/>
  <c r="H55" i="11"/>
  <c r="H47" i="11"/>
  <c r="H48" i="11"/>
  <c r="H49" i="11"/>
  <c r="H50" i="11"/>
  <c r="H51" i="11"/>
  <c r="H52" i="11"/>
  <c r="H53" i="11"/>
  <c r="H54" i="11"/>
  <c r="H46" i="11"/>
  <c r="H42" i="11"/>
  <c r="H33" i="11"/>
  <c r="D6" i="11" s="1"/>
  <c r="I10" i="1" s="1"/>
  <c r="H34" i="11"/>
  <c r="H35" i="11"/>
  <c r="H36" i="11"/>
  <c r="H37" i="11"/>
  <c r="H38" i="11"/>
  <c r="H39" i="11"/>
  <c r="H40" i="11"/>
  <c r="H41" i="11"/>
  <c r="H29" i="11"/>
  <c r="H21" i="11"/>
  <c r="H22" i="11"/>
  <c r="H23" i="11"/>
  <c r="H24" i="11"/>
  <c r="H25" i="11"/>
  <c r="H26" i="11"/>
  <c r="H27" i="11"/>
  <c r="H28" i="11"/>
  <c r="H20" i="11"/>
  <c r="H146" i="2"/>
  <c r="H138" i="2"/>
  <c r="H139" i="2"/>
  <c r="H140" i="2"/>
  <c r="H141" i="2"/>
  <c r="H142" i="2"/>
  <c r="H143" i="2"/>
  <c r="H144" i="2"/>
  <c r="H145" i="2"/>
  <c r="H137" i="2"/>
  <c r="H133" i="2"/>
  <c r="H125" i="2"/>
  <c r="H126" i="2"/>
  <c r="H127" i="2"/>
  <c r="H128" i="2"/>
  <c r="H129" i="2"/>
  <c r="H130" i="2"/>
  <c r="H131" i="2"/>
  <c r="H132" i="2"/>
  <c r="H124" i="2"/>
  <c r="H120" i="2"/>
  <c r="H112" i="2"/>
  <c r="H113" i="2"/>
  <c r="H114" i="2"/>
  <c r="H115" i="2"/>
  <c r="H116" i="2"/>
  <c r="H117" i="2"/>
  <c r="H118" i="2"/>
  <c r="H119" i="2"/>
  <c r="H111" i="2"/>
  <c r="H107" i="2"/>
  <c r="H99" i="2"/>
  <c r="H100" i="2"/>
  <c r="H101" i="2"/>
  <c r="H102" i="2"/>
  <c r="H103" i="2"/>
  <c r="H104" i="2"/>
  <c r="H105" i="2"/>
  <c r="H106" i="2"/>
  <c r="H98" i="2"/>
  <c r="H94" i="2"/>
  <c r="H86" i="2"/>
  <c r="H87" i="2"/>
  <c r="H88" i="2"/>
  <c r="H89" i="2"/>
  <c r="H90" i="2"/>
  <c r="H91" i="2"/>
  <c r="H92" i="2"/>
  <c r="H93" i="2"/>
  <c r="H85" i="2"/>
  <c r="H81" i="2"/>
  <c r="H73" i="2"/>
  <c r="H74" i="2"/>
  <c r="H75" i="2"/>
  <c r="H76" i="2"/>
  <c r="H77" i="2"/>
  <c r="H78" i="2"/>
  <c r="H79" i="2"/>
  <c r="H80" i="2"/>
  <c r="H72" i="2"/>
  <c r="H68" i="2"/>
  <c r="H60" i="2"/>
  <c r="H61" i="2"/>
  <c r="H62" i="2"/>
  <c r="H63" i="2"/>
  <c r="H64" i="2"/>
  <c r="H65" i="2"/>
  <c r="H66" i="2"/>
  <c r="H67" i="2"/>
  <c r="H59" i="2"/>
  <c r="H55" i="2"/>
  <c r="H47" i="2"/>
  <c r="H48" i="2"/>
  <c r="H49" i="2"/>
  <c r="H50" i="2"/>
  <c r="H51" i="2"/>
  <c r="H52" i="2"/>
  <c r="H53" i="2"/>
  <c r="H54" i="2"/>
  <c r="H46" i="2"/>
  <c r="H42" i="2"/>
  <c r="H34" i="2"/>
  <c r="H35" i="2"/>
  <c r="H36" i="2"/>
  <c r="H37" i="2"/>
  <c r="H38" i="2"/>
  <c r="H39" i="2"/>
  <c r="H40" i="2"/>
  <c r="H41" i="2"/>
  <c r="H33" i="2"/>
  <c r="H22" i="2"/>
  <c r="H23" i="2"/>
  <c r="H24" i="2"/>
  <c r="H25" i="2"/>
  <c r="H26" i="2"/>
  <c r="H27" i="2"/>
  <c r="H28" i="2"/>
  <c r="H29" i="2"/>
  <c r="H20" i="2"/>
  <c r="D7" i="2"/>
  <c r="B67" i="11"/>
  <c r="E8" i="14"/>
  <c r="I34" i="1" s="1"/>
  <c r="C131" i="14"/>
  <c r="C117" i="14"/>
  <c r="C106" i="14"/>
  <c r="C92" i="14"/>
  <c r="D14" i="11"/>
  <c r="I18" i="1" s="1"/>
  <c r="D13" i="11"/>
  <c r="I17" i="1" s="1"/>
  <c r="B42" i="11"/>
  <c r="B41" i="11"/>
  <c r="B40" i="11"/>
  <c r="B39" i="11"/>
  <c r="B38" i="11"/>
  <c r="B37" i="11"/>
  <c r="B36" i="11"/>
  <c r="B35" i="11"/>
  <c r="B34" i="11"/>
  <c r="B29" i="11"/>
  <c r="B28" i="11"/>
  <c r="B27" i="11"/>
  <c r="B26" i="11"/>
  <c r="B25" i="11"/>
  <c r="B24" i="11"/>
  <c r="B81" i="11"/>
  <c r="D62" i="1"/>
  <c r="D61" i="1"/>
  <c r="D60" i="1"/>
  <c r="D59" i="1"/>
  <c r="D58" i="1"/>
  <c r="D57" i="1"/>
  <c r="D56" i="1"/>
  <c r="D55" i="1"/>
  <c r="D54" i="1"/>
  <c r="D53" i="1"/>
  <c r="B146" i="10"/>
  <c r="B145" i="10"/>
  <c r="B144" i="10"/>
  <c r="B143" i="10"/>
  <c r="B142" i="10"/>
  <c r="B141" i="10"/>
  <c r="B140" i="10"/>
  <c r="B139" i="10"/>
  <c r="B138" i="10"/>
  <c r="B137" i="10"/>
  <c r="B133" i="10"/>
  <c r="B132" i="10"/>
  <c r="B131" i="10"/>
  <c r="B130" i="10"/>
  <c r="B129" i="10"/>
  <c r="B128" i="10"/>
  <c r="B127" i="10"/>
  <c r="B126" i="10"/>
  <c r="B125" i="10"/>
  <c r="B124" i="10"/>
  <c r="B120" i="10"/>
  <c r="B119" i="10"/>
  <c r="B118" i="10"/>
  <c r="B117" i="10"/>
  <c r="B116" i="10"/>
  <c r="B115" i="10"/>
  <c r="B114" i="10"/>
  <c r="B113" i="10"/>
  <c r="B112" i="10"/>
  <c r="B111" i="10"/>
  <c r="B107" i="10"/>
  <c r="B106" i="10"/>
  <c r="B105" i="10"/>
  <c r="B104" i="10"/>
  <c r="B103" i="10"/>
  <c r="B102" i="10"/>
  <c r="B101" i="10"/>
  <c r="B100" i="10"/>
  <c r="B99" i="10"/>
  <c r="B98" i="10"/>
  <c r="B94" i="10"/>
  <c r="B93" i="10"/>
  <c r="B92" i="10"/>
  <c r="B91" i="10"/>
  <c r="B90" i="10"/>
  <c r="B89" i="10"/>
  <c r="B88" i="10"/>
  <c r="B87" i="10"/>
  <c r="B86" i="10"/>
  <c r="B85" i="10"/>
  <c r="B81" i="10"/>
  <c r="B80" i="10"/>
  <c r="B79" i="10"/>
  <c r="B78" i="10"/>
  <c r="B77" i="10"/>
  <c r="B76" i="10"/>
  <c r="B75" i="10"/>
  <c r="B74" i="10"/>
  <c r="B73" i="10"/>
  <c r="B72" i="10"/>
  <c r="B68" i="10"/>
  <c r="B67" i="10"/>
  <c r="B66" i="10"/>
  <c r="B65" i="10"/>
  <c r="B64" i="10"/>
  <c r="B63" i="10"/>
  <c r="B62" i="10"/>
  <c r="B61" i="10"/>
  <c r="B60" i="10"/>
  <c r="B59" i="10"/>
  <c r="B55" i="10"/>
  <c r="B54" i="10"/>
  <c r="B53" i="10"/>
  <c r="B52" i="10"/>
  <c r="B51" i="10"/>
  <c r="B50" i="10"/>
  <c r="B49" i="10"/>
  <c r="B48" i="10"/>
  <c r="B47" i="10"/>
  <c r="B46" i="10"/>
  <c r="B42" i="10"/>
  <c r="B41" i="10"/>
  <c r="B40" i="10"/>
  <c r="B39" i="10"/>
  <c r="B38" i="10"/>
  <c r="B37" i="10"/>
  <c r="B36" i="10"/>
  <c r="B35" i="10"/>
  <c r="B34" i="10"/>
  <c r="B33" i="10"/>
  <c r="B29" i="10"/>
  <c r="B28" i="10"/>
  <c r="B27" i="10"/>
  <c r="B26" i="10"/>
  <c r="B25" i="10"/>
  <c r="B24" i="10"/>
  <c r="B23" i="10"/>
  <c r="B22" i="10"/>
  <c r="B21" i="10"/>
  <c r="B20" i="10"/>
  <c r="B14" i="10"/>
  <c r="B135" i="10" s="1"/>
  <c r="B13" i="10"/>
  <c r="B122" i="10" s="1"/>
  <c r="B12" i="10"/>
  <c r="C60" i="1" s="1"/>
  <c r="B11" i="10"/>
  <c r="B96" i="10" s="1"/>
  <c r="B10" i="10"/>
  <c r="B83" i="10" s="1"/>
  <c r="B9" i="10"/>
  <c r="B70" i="10" s="1"/>
  <c r="B8" i="10"/>
  <c r="B57" i="10" s="1"/>
  <c r="B7" i="10"/>
  <c r="B44" i="10" s="1"/>
  <c r="B6" i="10"/>
  <c r="B31" i="10" s="1"/>
  <c r="B5" i="10"/>
  <c r="C53" i="1" s="1"/>
  <c r="D32" i="1"/>
  <c r="D33" i="1"/>
  <c r="D34" i="1"/>
  <c r="D35" i="1"/>
  <c r="D36" i="1"/>
  <c r="D37" i="1"/>
  <c r="D38" i="1"/>
  <c r="D39" i="1"/>
  <c r="D40" i="1"/>
  <c r="D31" i="1"/>
  <c r="B146" i="9"/>
  <c r="B145" i="9"/>
  <c r="B144" i="9"/>
  <c r="B143" i="9"/>
  <c r="B142" i="9"/>
  <c r="B141" i="9"/>
  <c r="B140" i="9"/>
  <c r="B139" i="9"/>
  <c r="B138" i="9"/>
  <c r="B137" i="9"/>
  <c r="B133" i="9"/>
  <c r="B132" i="9"/>
  <c r="B131" i="9"/>
  <c r="B130" i="9"/>
  <c r="B129" i="9"/>
  <c r="B128" i="9"/>
  <c r="B127" i="9"/>
  <c r="B126" i="9"/>
  <c r="B125" i="9"/>
  <c r="B124" i="9"/>
  <c r="B120" i="9"/>
  <c r="B119" i="9"/>
  <c r="B118" i="9"/>
  <c r="B117" i="9"/>
  <c r="B116" i="9"/>
  <c r="B115" i="9"/>
  <c r="B114" i="9"/>
  <c r="B113" i="9"/>
  <c r="B112" i="9"/>
  <c r="B111" i="9"/>
  <c r="B107" i="9"/>
  <c r="B106" i="9"/>
  <c r="B105" i="9"/>
  <c r="B104" i="9"/>
  <c r="B103" i="9"/>
  <c r="B102" i="9"/>
  <c r="B101" i="9"/>
  <c r="B100" i="9"/>
  <c r="B99" i="9"/>
  <c r="B98" i="9"/>
  <c r="B94" i="9"/>
  <c r="B93" i="9"/>
  <c r="B92" i="9"/>
  <c r="B91" i="9"/>
  <c r="B90" i="9"/>
  <c r="B89" i="9"/>
  <c r="B88" i="9"/>
  <c r="B87" i="9"/>
  <c r="B86" i="9"/>
  <c r="B85" i="9"/>
  <c r="B81" i="9"/>
  <c r="B80" i="9"/>
  <c r="B79" i="9"/>
  <c r="B78" i="9"/>
  <c r="B77" i="9"/>
  <c r="B76" i="9"/>
  <c r="B75" i="9"/>
  <c r="B74" i="9"/>
  <c r="B73" i="9"/>
  <c r="B72" i="9"/>
  <c r="B68" i="9"/>
  <c r="B67" i="9"/>
  <c r="B66" i="9"/>
  <c r="B65" i="9"/>
  <c r="B64" i="9"/>
  <c r="B63" i="9"/>
  <c r="B62" i="9"/>
  <c r="B61" i="9"/>
  <c r="B60" i="9"/>
  <c r="B59" i="9"/>
  <c r="B55" i="9"/>
  <c r="B54" i="9"/>
  <c r="B53" i="9"/>
  <c r="B52" i="9"/>
  <c r="B51" i="9"/>
  <c r="B50" i="9"/>
  <c r="B49" i="9"/>
  <c r="B48" i="9"/>
  <c r="B47" i="9"/>
  <c r="B46" i="9"/>
  <c r="B42" i="9"/>
  <c r="B41" i="9"/>
  <c r="B40" i="9"/>
  <c r="B39" i="9"/>
  <c r="B38" i="9"/>
  <c r="B37" i="9"/>
  <c r="B36" i="9"/>
  <c r="B35" i="9"/>
  <c r="B34" i="9"/>
  <c r="B33" i="9"/>
  <c r="B29" i="9"/>
  <c r="B28" i="9"/>
  <c r="B27" i="9"/>
  <c r="B26" i="9"/>
  <c r="B25" i="9"/>
  <c r="B24" i="9"/>
  <c r="B23" i="9"/>
  <c r="B22" i="9"/>
  <c r="B21" i="9"/>
  <c r="B20" i="9"/>
  <c r="B14" i="9"/>
  <c r="B135" i="9" s="1"/>
  <c r="B13" i="9"/>
  <c r="C39" i="1" s="1"/>
  <c r="B12" i="9"/>
  <c r="B109" i="9" s="1"/>
  <c r="B11" i="9"/>
  <c r="C37" i="1" s="1"/>
  <c r="B10" i="9"/>
  <c r="B83" i="9" s="1"/>
  <c r="B9" i="9"/>
  <c r="B70" i="9" s="1"/>
  <c r="B8" i="9"/>
  <c r="B57" i="9" s="1"/>
  <c r="B7" i="9"/>
  <c r="B44" i="9" s="1"/>
  <c r="B6" i="9"/>
  <c r="B31" i="9" s="1"/>
  <c r="B5" i="9"/>
  <c r="C31" i="1" s="1"/>
  <c r="D10" i="1"/>
  <c r="D11" i="1"/>
  <c r="D12" i="1"/>
  <c r="D13" i="1"/>
  <c r="D14" i="1"/>
  <c r="D15" i="1"/>
  <c r="D16" i="1"/>
  <c r="D17" i="1"/>
  <c r="D18" i="1"/>
  <c r="D9" i="1"/>
  <c r="B14" i="2"/>
  <c r="C18" i="1" s="1"/>
  <c r="B13" i="2"/>
  <c r="C17" i="1" s="1"/>
  <c r="B12" i="2"/>
  <c r="C16" i="1" s="1"/>
  <c r="B11" i="2"/>
  <c r="C15" i="1" s="1"/>
  <c r="B10" i="2"/>
  <c r="C14" i="1" s="1"/>
  <c r="B9" i="2"/>
  <c r="C13" i="1" s="1"/>
  <c r="B8" i="2"/>
  <c r="C12" i="1" s="1"/>
  <c r="B7" i="2"/>
  <c r="C11" i="1" s="1"/>
  <c r="B6" i="2"/>
  <c r="B5" i="2"/>
  <c r="C9" i="1" s="1"/>
  <c r="B10" i="11" l="1"/>
  <c r="B92" i="11" s="1"/>
  <c r="E7" i="14"/>
  <c r="I33" i="1" s="1"/>
  <c r="E9" i="14"/>
  <c r="I35" i="1" s="1"/>
  <c r="E12" i="14"/>
  <c r="I38" i="1" s="1"/>
  <c r="E13" i="14"/>
  <c r="I39" i="1" s="1"/>
  <c r="E10" i="14"/>
  <c r="I36" i="1" s="1"/>
  <c r="E6" i="14"/>
  <c r="I32" i="1" s="1"/>
  <c r="E14" i="14"/>
  <c r="I40" i="1" s="1"/>
  <c r="E11" i="14"/>
  <c r="I37" i="1" s="1"/>
  <c r="C7" i="14"/>
  <c r="C44" i="14" s="1"/>
  <c r="C6" i="14"/>
  <c r="C31" i="14" s="1"/>
  <c r="C8" i="14"/>
  <c r="C9" i="14"/>
  <c r="C70" i="14" s="1"/>
  <c r="C10" i="14"/>
  <c r="G36" i="1" s="1"/>
  <c r="C11" i="14"/>
  <c r="G37" i="1" s="1"/>
  <c r="C12" i="14"/>
  <c r="C13" i="14"/>
  <c r="G39" i="1" s="1"/>
  <c r="C14" i="14"/>
  <c r="C135" i="14" s="1"/>
  <c r="C5" i="14"/>
  <c r="G31" i="1" s="1"/>
  <c r="D9" i="11"/>
  <c r="I13" i="1" s="1"/>
  <c r="D10" i="11"/>
  <c r="I14" i="1" s="1"/>
  <c r="D7" i="11"/>
  <c r="I11" i="1" s="1"/>
  <c r="D8" i="11"/>
  <c r="I12" i="1" s="1"/>
  <c r="D11" i="11"/>
  <c r="I15" i="1" s="1"/>
  <c r="D12" i="11"/>
  <c r="I16" i="1" s="1"/>
  <c r="B109" i="10"/>
  <c r="B11" i="11"/>
  <c r="B12" i="11"/>
  <c r="B13" i="11"/>
  <c r="B14" i="11"/>
  <c r="B6" i="11"/>
  <c r="B7" i="11"/>
  <c r="G11" i="1" s="1"/>
  <c r="B8" i="11"/>
  <c r="B9" i="11"/>
  <c r="C132" i="14"/>
  <c r="C128" i="14"/>
  <c r="C78" i="14"/>
  <c r="C40" i="14"/>
  <c r="C74" i="14"/>
  <c r="C36" i="14"/>
  <c r="C85" i="14"/>
  <c r="C107" i="14"/>
  <c r="C53" i="14"/>
  <c r="C103" i="14"/>
  <c r="C49" i="14"/>
  <c r="C42" i="14"/>
  <c r="C99" i="14"/>
  <c r="C124" i="14"/>
  <c r="C38" i="14"/>
  <c r="C34" i="14"/>
  <c r="C93" i="14"/>
  <c r="E5" i="14"/>
  <c r="I31" i="1" s="1"/>
  <c r="C39" i="14"/>
  <c r="C35" i="14"/>
  <c r="C89" i="14"/>
  <c r="B122" i="9"/>
  <c r="B96" i="9"/>
  <c r="B5" i="11"/>
  <c r="B52" i="11"/>
  <c r="B64" i="11"/>
  <c r="B93" i="11"/>
  <c r="B78" i="11"/>
  <c r="B65" i="11"/>
  <c r="B118" i="11"/>
  <c r="B139" i="11"/>
  <c r="B104" i="11"/>
  <c r="B107" i="11"/>
  <c r="B66" i="11"/>
  <c r="B98" i="11"/>
  <c r="B143" i="11"/>
  <c r="D5" i="11"/>
  <c r="I9" i="1" s="1"/>
  <c r="B68" i="11"/>
  <c r="B85" i="11"/>
  <c r="B99" i="11"/>
  <c r="B100" i="11"/>
  <c r="B114" i="11"/>
  <c r="B61" i="11"/>
  <c r="B60" i="11"/>
  <c r="B74" i="11"/>
  <c r="B89" i="11"/>
  <c r="B62" i="11"/>
  <c r="B103" i="11"/>
  <c r="C60" i="14"/>
  <c r="C64" i="14"/>
  <c r="C68" i="14"/>
  <c r="C114" i="14"/>
  <c r="C118" i="14"/>
  <c r="C139" i="14"/>
  <c r="C143" i="14"/>
  <c r="C46" i="14"/>
  <c r="C50" i="14"/>
  <c r="C54" i="14"/>
  <c r="C75" i="14"/>
  <c r="C79" i="14"/>
  <c r="C100" i="14"/>
  <c r="C104" i="14"/>
  <c r="C125" i="14"/>
  <c r="C129" i="14"/>
  <c r="C133" i="14"/>
  <c r="C61" i="14"/>
  <c r="C65" i="14"/>
  <c r="C86" i="14"/>
  <c r="C90" i="14"/>
  <c r="C94" i="14"/>
  <c r="C111" i="14"/>
  <c r="C115" i="14"/>
  <c r="C119" i="14"/>
  <c r="C140" i="14"/>
  <c r="C144" i="14"/>
  <c r="C47" i="14"/>
  <c r="C51" i="14"/>
  <c r="C55" i="14"/>
  <c r="C72" i="14"/>
  <c r="C76" i="14"/>
  <c r="C80" i="14"/>
  <c r="C101" i="14"/>
  <c r="C105" i="14"/>
  <c r="C126" i="14"/>
  <c r="C130" i="14"/>
  <c r="C33" i="14"/>
  <c r="C37" i="14"/>
  <c r="C62" i="14"/>
  <c r="C66" i="14"/>
  <c r="C87" i="14"/>
  <c r="C91" i="14"/>
  <c r="C112" i="14"/>
  <c r="C116" i="14"/>
  <c r="C120" i="14"/>
  <c r="C137" i="14"/>
  <c r="C141" i="14"/>
  <c r="C145" i="14"/>
  <c r="C48" i="14"/>
  <c r="C73" i="14"/>
  <c r="C77" i="14"/>
  <c r="C98" i="14"/>
  <c r="C102" i="14"/>
  <c r="C127" i="14"/>
  <c r="C59" i="14"/>
  <c r="C63" i="14"/>
  <c r="C88" i="14"/>
  <c r="C113" i="14"/>
  <c r="C138" i="14"/>
  <c r="C142" i="14"/>
  <c r="B49" i="11"/>
  <c r="B53" i="11"/>
  <c r="B124" i="11"/>
  <c r="B128" i="11"/>
  <c r="B132" i="11"/>
  <c r="B46" i="11"/>
  <c r="B50" i="11"/>
  <c r="B54" i="11"/>
  <c r="B75" i="11"/>
  <c r="B79" i="11"/>
  <c r="B125" i="11"/>
  <c r="B129" i="11"/>
  <c r="B133" i="11"/>
  <c r="B86" i="11"/>
  <c r="B90" i="11"/>
  <c r="B94" i="11"/>
  <c r="B111" i="11"/>
  <c r="B115" i="11"/>
  <c r="B119" i="11"/>
  <c r="B140" i="11"/>
  <c r="B144" i="11"/>
  <c r="B47" i="11"/>
  <c r="B51" i="11"/>
  <c r="B55" i="11"/>
  <c r="B72" i="11"/>
  <c r="B76" i="11"/>
  <c r="B80" i="11"/>
  <c r="B101" i="11"/>
  <c r="B105" i="11"/>
  <c r="B126" i="11"/>
  <c r="B130" i="11"/>
  <c r="B87" i="11"/>
  <c r="B91" i="11"/>
  <c r="B112" i="11"/>
  <c r="B116" i="11"/>
  <c r="B120" i="11"/>
  <c r="B137" i="11"/>
  <c r="B141" i="11"/>
  <c r="B145" i="11"/>
  <c r="B48" i="11"/>
  <c r="B73" i="11"/>
  <c r="B77" i="11"/>
  <c r="B102" i="11"/>
  <c r="B127" i="11"/>
  <c r="B59" i="11"/>
  <c r="B63" i="11"/>
  <c r="B88" i="11"/>
  <c r="B113" i="11"/>
  <c r="B138" i="11"/>
  <c r="B142" i="11"/>
  <c r="B18" i="9"/>
  <c r="C36" i="1"/>
  <c r="D6" i="10"/>
  <c r="E54" i="1" s="1"/>
  <c r="D10" i="10"/>
  <c r="E58" i="1" s="1"/>
  <c r="D5" i="10"/>
  <c r="E53" i="1" s="1"/>
  <c r="C59" i="1"/>
  <c r="C54" i="1"/>
  <c r="C55" i="1"/>
  <c r="C61" i="1"/>
  <c r="C56" i="1"/>
  <c r="D12" i="10"/>
  <c r="E60" i="1" s="1"/>
  <c r="C62" i="1"/>
  <c r="C57" i="1"/>
  <c r="D8" i="10"/>
  <c r="E56" i="1" s="1"/>
  <c r="C58" i="1"/>
  <c r="D13" i="10"/>
  <c r="E61" i="1" s="1"/>
  <c r="C35" i="1"/>
  <c r="C34" i="1"/>
  <c r="C33" i="1"/>
  <c r="D8" i="9"/>
  <c r="E34" i="1" s="1"/>
  <c r="D14" i="9"/>
  <c r="E40" i="1" s="1"/>
  <c r="C40" i="1"/>
  <c r="C32" i="1"/>
  <c r="D10" i="9"/>
  <c r="E36" i="1" s="1"/>
  <c r="C38" i="1"/>
  <c r="D14" i="10"/>
  <c r="E62" i="1" s="1"/>
  <c r="D9" i="10"/>
  <c r="E57" i="1" s="1"/>
  <c r="D7" i="10"/>
  <c r="E55" i="1" s="1"/>
  <c r="D11" i="10"/>
  <c r="E59" i="1" s="1"/>
  <c r="B18" i="10"/>
  <c r="D12" i="9"/>
  <c r="E38" i="1" s="1"/>
  <c r="D13" i="9"/>
  <c r="E39" i="1" s="1"/>
  <c r="D9" i="9"/>
  <c r="E35" i="1" s="1"/>
  <c r="D5" i="9"/>
  <c r="E31" i="1" s="1"/>
  <c r="D7" i="9"/>
  <c r="E33" i="1" s="1"/>
  <c r="D11" i="9"/>
  <c r="E37" i="1" s="1"/>
  <c r="D6" i="9"/>
  <c r="E32" i="1" s="1"/>
  <c r="B18" i="2"/>
  <c r="B44" i="2"/>
  <c r="B57" i="2"/>
  <c r="B31" i="2"/>
  <c r="B70" i="2"/>
  <c r="B83" i="2"/>
  <c r="B96" i="2"/>
  <c r="B109" i="2"/>
  <c r="B122" i="2"/>
  <c r="B135" i="2"/>
  <c r="B46" i="2"/>
  <c r="B47" i="2"/>
  <c r="B48" i="2"/>
  <c r="B49" i="2"/>
  <c r="B50" i="2"/>
  <c r="B51" i="2"/>
  <c r="B52" i="2"/>
  <c r="B53" i="2"/>
  <c r="B54" i="2"/>
  <c r="B55" i="2"/>
  <c r="B59" i="2"/>
  <c r="B60" i="2"/>
  <c r="B61" i="2"/>
  <c r="B62" i="2"/>
  <c r="B63" i="2"/>
  <c r="B64" i="2"/>
  <c r="B65" i="2"/>
  <c r="B66" i="2"/>
  <c r="B67" i="2"/>
  <c r="B68" i="2"/>
  <c r="D8" i="2"/>
  <c r="B146" i="2"/>
  <c r="B145" i="2"/>
  <c r="B144" i="2"/>
  <c r="B143" i="2"/>
  <c r="B142" i="2"/>
  <c r="B141" i="2"/>
  <c r="B140" i="2"/>
  <c r="B139" i="2"/>
  <c r="B138" i="2"/>
  <c r="B137" i="2"/>
  <c r="B133" i="2"/>
  <c r="B132" i="2"/>
  <c r="B131" i="2"/>
  <c r="B130" i="2"/>
  <c r="B129" i="2"/>
  <c r="B128" i="2"/>
  <c r="B127" i="2"/>
  <c r="B126" i="2"/>
  <c r="B125" i="2"/>
  <c r="B124" i="2"/>
  <c r="B120" i="2"/>
  <c r="B119" i="2"/>
  <c r="B118" i="2"/>
  <c r="B117" i="2"/>
  <c r="B116" i="2"/>
  <c r="B115" i="2"/>
  <c r="B114" i="2"/>
  <c r="B113" i="2"/>
  <c r="B112" i="2"/>
  <c r="B111" i="2"/>
  <c r="B107" i="2"/>
  <c r="B106" i="2"/>
  <c r="B105" i="2"/>
  <c r="B104" i="2"/>
  <c r="B103" i="2"/>
  <c r="B102" i="2"/>
  <c r="B101" i="2"/>
  <c r="B100" i="2"/>
  <c r="B99" i="2"/>
  <c r="B98" i="2"/>
  <c r="B94" i="2"/>
  <c r="B93" i="2"/>
  <c r="B92" i="2"/>
  <c r="B91" i="2"/>
  <c r="B90" i="2"/>
  <c r="B89" i="2"/>
  <c r="B88" i="2"/>
  <c r="B87" i="2"/>
  <c r="B86" i="2"/>
  <c r="B85" i="2"/>
  <c r="B81" i="2"/>
  <c r="B80" i="2"/>
  <c r="B79" i="2"/>
  <c r="B78" i="2"/>
  <c r="B77" i="2"/>
  <c r="B76" i="2"/>
  <c r="B75" i="2"/>
  <c r="B74" i="2"/>
  <c r="B73" i="2"/>
  <c r="B72" i="2"/>
  <c r="B42" i="2"/>
  <c r="B41" i="2"/>
  <c r="B40" i="2"/>
  <c r="B39" i="2"/>
  <c r="B38" i="2"/>
  <c r="B37" i="2"/>
  <c r="B36" i="2"/>
  <c r="B35" i="2"/>
  <c r="B34" i="2"/>
  <c r="B33" i="2"/>
  <c r="B29" i="2"/>
  <c r="B28" i="2"/>
  <c r="B27" i="2"/>
  <c r="B26" i="2"/>
  <c r="B25" i="2"/>
  <c r="B24" i="2"/>
  <c r="B23" i="2"/>
  <c r="B22" i="2"/>
  <c r="B21" i="2"/>
  <c r="B20" i="2"/>
  <c r="C21" i="1"/>
  <c r="B22" i="11" l="1"/>
  <c r="B23" i="11"/>
  <c r="G14" i="1"/>
  <c r="B83" i="11"/>
  <c r="C83" i="14"/>
  <c r="C96" i="14"/>
  <c r="C122" i="14"/>
  <c r="C146" i="14"/>
  <c r="G40" i="1"/>
  <c r="G38" i="1"/>
  <c r="C109" i="14"/>
  <c r="C81" i="14"/>
  <c r="G35" i="1"/>
  <c r="C67" i="14"/>
  <c r="G34" i="1"/>
  <c r="C41" i="14"/>
  <c r="G32" i="1"/>
  <c r="C18" i="14"/>
  <c r="C57" i="14"/>
  <c r="C52" i="14"/>
  <c r="G33" i="1"/>
  <c r="B70" i="11"/>
  <c r="G13" i="1"/>
  <c r="B57" i="11"/>
  <c r="G12" i="1"/>
  <c r="B31" i="11"/>
  <c r="G10" i="1"/>
  <c r="B146" i="11"/>
  <c r="G18" i="1"/>
  <c r="B131" i="11"/>
  <c r="G17" i="1"/>
  <c r="B117" i="11"/>
  <c r="G16" i="1"/>
  <c r="B106" i="11"/>
  <c r="G15" i="1"/>
  <c r="B18" i="11"/>
  <c r="G9" i="1"/>
  <c r="B96" i="11"/>
  <c r="B122" i="11"/>
  <c r="B135" i="11"/>
  <c r="B109" i="11"/>
  <c r="C21" i="14"/>
  <c r="C25" i="14"/>
  <c r="C20" i="14"/>
  <c r="C29" i="14"/>
  <c r="C28" i="14"/>
  <c r="C22" i="14"/>
  <c r="C26" i="14"/>
  <c r="C24" i="14"/>
  <c r="C23" i="14"/>
  <c r="C27" i="14"/>
  <c r="B21" i="11"/>
  <c r="B33" i="11"/>
  <c r="B44" i="11"/>
  <c r="B20" i="11"/>
  <c r="E41" i="1"/>
  <c r="E63" i="1"/>
  <c r="I65" i="1" s="1"/>
  <c r="I41" i="1"/>
  <c r="D11" i="2"/>
  <c r="E15" i="1" s="1"/>
  <c r="E12" i="1"/>
  <c r="D13" i="2"/>
  <c r="E17" i="1" s="1"/>
  <c r="E11" i="1"/>
  <c r="D10" i="2"/>
  <c r="E14" i="1" s="1"/>
  <c r="D14" i="2"/>
  <c r="E18" i="1" s="1"/>
  <c r="D12" i="2"/>
  <c r="E16" i="1" s="1"/>
  <c r="D6" i="2"/>
  <c r="E10" i="1" s="1"/>
  <c r="D9" i="2"/>
  <c r="E13" i="1" s="1"/>
  <c r="I43" i="1" l="1"/>
  <c r="C10" i="1"/>
  <c r="D5" i="2"/>
  <c r="E9" i="1" s="1"/>
  <c r="I19" i="1" l="1"/>
  <c r="E19" i="1"/>
  <c r="I21" i="1" l="1"/>
  <c r="I69" i="1" s="1"/>
</calcChain>
</file>

<file path=xl/sharedStrings.xml><?xml version="1.0" encoding="utf-8"?>
<sst xmlns="http://schemas.openxmlformats.org/spreadsheetml/2006/main" count="653" uniqueCount="189">
  <si>
    <t>Nr pozycji</t>
  </si>
  <si>
    <t>Nazwa zadania</t>
  </si>
  <si>
    <t>Kategoria wydatku</t>
  </si>
  <si>
    <t>Jednostka miary</t>
  </si>
  <si>
    <t>Liczba jednostek</t>
  </si>
  <si>
    <t>SUMA</t>
  </si>
  <si>
    <t>Uzasadnienie kosztu</t>
  </si>
  <si>
    <t>Kategorie kosztów</t>
  </si>
  <si>
    <t>wynagrodzenia</t>
  </si>
  <si>
    <t>usługi obce</t>
  </si>
  <si>
    <t>materiały</t>
  </si>
  <si>
    <t>Jednostki</t>
  </si>
  <si>
    <t>n/d</t>
  </si>
  <si>
    <t>Koszt jednostkowy</t>
  </si>
  <si>
    <t>Nazwa kosztu w zadaniu</t>
  </si>
  <si>
    <t>Koszt zadania</t>
  </si>
  <si>
    <t>godzina</t>
  </si>
  <si>
    <t>Zadania na etapie prototypu</t>
  </si>
  <si>
    <t>TESTOWANIE</t>
  </si>
  <si>
    <t>ETAP 1: Prototyp 1 i jego testowanie</t>
  </si>
  <si>
    <t>Koszt</t>
  </si>
  <si>
    <t>Nr zadania</t>
  </si>
  <si>
    <t>ETAP 2: Prototyp 2 i jego testowanie</t>
  </si>
  <si>
    <t>ETAP 3: Prototyp 3</t>
  </si>
  <si>
    <t>RAZEM ETAP 1:</t>
  </si>
  <si>
    <t>Harmonogram:</t>
  </si>
  <si>
    <t>Start (tydzień):</t>
  </si>
  <si>
    <t>Koniec (tydzień):</t>
  </si>
  <si>
    <t>RAZEM BUDŻET PROJEKTU:</t>
  </si>
  <si>
    <t>RAZEM PROTOTYP 1:</t>
  </si>
  <si>
    <t>RAZEM TESTOWANIE 1:</t>
  </si>
  <si>
    <t>Początek realizacji</t>
  </si>
  <si>
    <t>Koniec realizacji</t>
  </si>
  <si>
    <t>Lp.</t>
  </si>
  <si>
    <t>Towar/Usługa</t>
  </si>
  <si>
    <t>Standard - warunki kwalifikowania wydatku na etapie oceny projektów</t>
  </si>
  <si>
    <t xml:space="preserve">Maksymalna cena rynkowa (brutto)                                                  </t>
  </si>
  <si>
    <t>Dodatkowe zalecenia IZ/ cenniki</t>
  </si>
  <si>
    <t>wynagrodzenie trenera</t>
  </si>
  <si>
    <t xml:space="preserve">a) wydatek kwalifikowalny, o ile jest to uzasadnione specyfiką realizowanego projektu
b) wydatek kwalifikowalny, o ile trener posiada wykształcenie wyższe/zawodowe lub certyfikaty/zaświadczenia/inne umożliwiające przeprowadzenie danego wsparcia (do szczegółowego określenia przez IP w standardzie)
c) - wydatek kwalifikowalny, o ile trener posiada doświadczenie umożliwiające przeprowadzenie danego wsparcia, przy czym minimalne doświadczenie zawodowe w danej dziedzinie nie powinno być krótsze niż 2 lata (do szczegółowego określenia przez IP w standardzie) </t>
  </si>
  <si>
    <r>
      <rPr>
        <b/>
        <sz val="10"/>
        <color theme="1"/>
        <rFont val="Arial"/>
        <family val="2"/>
        <charset val="238"/>
      </rPr>
      <t xml:space="preserve">250 – 400 PLN </t>
    </r>
    <r>
      <rPr>
        <sz val="10"/>
        <color theme="1"/>
        <rFont val="Arial"/>
        <family val="2"/>
        <charset val="238"/>
      </rPr>
      <t>za godzinę szkolenia</t>
    </r>
  </si>
  <si>
    <t>2.17 POWER</t>
  </si>
  <si>
    <t xml:space="preserve">wynagrodzenie doradcy zawodowego  </t>
  </si>
  <si>
    <t xml:space="preserve">a) wydatek kwalifikowalny, o ile jest to uzasadnione specyfiką realizowanego projektu
b) - wydatek kwalifikowalny, o ile doradca zawodowy posiada wykształcenie wyższe/zawodowe lub certyfikaty/zaświadczenia/inne umożliwiające prowadzenie doradztwa zawodowego
c) - wydatek kwalifikowalny, o ile doradca zawodowy posiada doświadczenie umożliwiające prowadzenie doradztwa zawodowego, przy czym minimalne doświadczenie zawodowe w danej dziedzinie nie powinno być krótsze niż 2 lata </t>
  </si>
  <si>
    <r>
      <rPr>
        <b/>
        <sz val="10"/>
        <color theme="1"/>
        <rFont val="Arial"/>
        <family val="2"/>
        <charset val="238"/>
      </rPr>
      <t>100 zł /</t>
    </r>
    <r>
      <rPr>
        <sz val="10"/>
        <color theme="1"/>
        <rFont val="Arial"/>
        <family val="2"/>
        <charset val="238"/>
      </rPr>
      <t xml:space="preserve"> godz.</t>
    </r>
  </si>
  <si>
    <t xml:space="preserve">1.2.1 POWER </t>
  </si>
  <si>
    <t>wynagrodzenie psychologa</t>
  </si>
  <si>
    <t>a) wydatek kwalifikowalny, o ile jest to uzasadnione specyfiką realizowanego projektu
b) - wydatek kwalifikowalny, o ile psycholog posiada wykształcenie wyższe/zawodowe lub certyfikaty/zaświadczenia/inne umożliwiające przeprowadzenie danego wsparcia (do szczegółowego określenia przez IP w standardzie)
c) - wydatek kwalifikowalny, o ile psycholog posiada doświadczenie umożliwiające przeprowadzenie usługi psychologicznej, przy czym minimalne doświadczenie zawodowe w danej dziedzinie nie powinno być krótsze niż 2 lata (do szczegółowego określenia przez IP w standardzie)</t>
  </si>
  <si>
    <r>
      <rPr>
        <b/>
        <sz val="10"/>
        <color theme="1"/>
        <rFont val="Arial"/>
        <family val="2"/>
        <charset val="238"/>
      </rPr>
      <t>100</t>
    </r>
    <r>
      <rPr>
        <sz val="11"/>
        <color theme="1"/>
        <rFont val="Calibri"/>
        <family val="2"/>
        <scheme val="minor"/>
      </rPr>
      <t xml:space="preserve"> zł /</t>
    </r>
    <r>
      <rPr>
        <sz val="10"/>
        <color theme="1"/>
        <rFont val="Arial"/>
        <family val="2"/>
        <charset val="238"/>
      </rPr>
      <t xml:space="preserve"> godz.</t>
    </r>
  </si>
  <si>
    <t>cennik EFS psycholog</t>
  </si>
  <si>
    <t>wynajem sal szkoleniowych</t>
  </si>
  <si>
    <t>a)wydatek kwalifikowalny, o ile jest to uzasadnione specyfiką realizowanego projektu
b) obejmuje koszt wynajmu sali wyposażonej, zgodnie z potrzebami projektu, m.in. w stoły, krzesła, rzutnik multimedialny z ekranem, komputer, tablice flipchart lub tablice suchościeralne, bezprzewodowy dostęp do Internetu oraz koszty utrzymania sali, w tym energii elektrycznej 
c) wydatek kwalifikowalny, o ile sala oraz budynek, w którym się ona znajduje, zapewnia dostęp dla osób z niepełnosprawnością ruchową (tj. dostosowanie architektoniczne), przy czym obowiązek ten nie dotyczy udostępniania sal szkoleniowych jako wkład własny w projekcie</t>
  </si>
  <si>
    <r>
      <rPr>
        <b/>
        <sz val="10"/>
        <color theme="1"/>
        <rFont val="Arial"/>
        <family val="2"/>
        <charset val="238"/>
      </rPr>
      <t>75 PLN/</t>
    </r>
    <r>
      <rPr>
        <sz val="10"/>
        <color theme="1"/>
        <rFont val="Arial"/>
        <family val="2"/>
        <charset val="238"/>
      </rPr>
      <t xml:space="preserve"> za godzinę zegarową szkolenia</t>
    </r>
  </si>
  <si>
    <t>a) cena dotyczy też wynajmu sali na różnego typu grupowe spotkania merytoryczne, o ile ich realizacja jest niezbędna i wynika z celu realizacji projektu, zaś cena powinna być niższa, jeśli koszt nie obejmuje wyposażenia określonego jak dla wynajmu sali szkoleniowej
b) cena obejmuje wynajem krótkoterminowy (w przypadku wynajmu sal szkoleniowych na okres dłuższy niż 80 godzin zegarowych cena powinna być niższa) 
c)  cena nie dotyczy wynajmu sal wyposażonych w sprzęt specjalistyczny umożliwiający udział w szkoleniach osób z innymi rodzajami niepełnosprawności niż niepełnosprawność ruchowa (np. sala z pętlą indukcyjną)
d) cena dotyczy wynajmu sali do 40 osób</t>
  </si>
  <si>
    <t>5</t>
  </si>
  <si>
    <t>wynajem sali na spotkania indywidualne</t>
  </si>
  <si>
    <t>a) wydatek kwalifikowalny, o ile jest to uzasadnione specyfiką realizowanego projektu oraz potrzebami grupy docelowej
b) - obejmuje koszt wynajmu sali wyposażonej, zgodnie z potrzebami projektu, m.in. w stoły, krzesła, tablice flipchart lub tablice suchościeralne, bezprzewodowy dostęp do Internetu oraz koszty utrzymania sali, w tym energii elektrycznej 
c) - wydatek kwalifikowalny, o ile sala oraz budynek, w którym się ona znajduje, zapewnia dostęp dla osób z niepełnosprawnością ruchową (tj. dostosowanie architektoniczne), przy czym obowiązek ten nie dotyczy udostępniania sal na spotkania indywidualne jako wkład własny w projekcie</t>
  </si>
  <si>
    <r>
      <rPr>
        <b/>
        <sz val="10"/>
        <color theme="1"/>
        <rFont val="Arial"/>
        <family val="2"/>
        <charset val="238"/>
      </rPr>
      <t>40 PLN</t>
    </r>
    <r>
      <rPr>
        <sz val="10"/>
        <color theme="1"/>
        <rFont val="Arial"/>
        <family val="2"/>
        <charset val="238"/>
      </rPr>
      <t>/ za godzinę zegarową spotkania</t>
    </r>
  </si>
  <si>
    <t>a) cena obejmuje wynajem krótkoterminowy (w przypadku wynajmu sal na okres dłuższy niż 80 godzin zegarowych cena powinna być niższa) 
b) - cena nie dotyczy wynajmu sal wyposażonych w sprzęt specjalistyczny umożliwiający udział we wsparciu osób z innymi rodzajami niepełnosprawności niż niepełnosprawność ruchowa (np. sala z pętlą indukcyjną)
c) cena dotyczy wynajmu sali do 10 osób</t>
  </si>
  <si>
    <t>6</t>
  </si>
  <si>
    <t>wynajem sali komputerowej</t>
  </si>
  <si>
    <t>a) wydatek kwalifikowalny, o ile jest to uzasadnione specyfiką realizowanego projektu
b) obejmuje koszt wynajmu sali wyposażonej, zgodnie z potrzebami projektu, m.in. w stoły, krzesła, rzutnik multimedialny z ekranem, min. 12 stanowisk komputerowych, tablice flipchart lub tablice suchościeralne, bezprzewodowy dostęp do Internetu oraz koszty utrzymania sali, w tym energii elektrycznej  
c) wydatek kwalifikowalny, o ile sala oraz budynek, w którym się ona znajduje, zapewnia dostęp dla osób z niepełnosprawnością ruchową (tj. dostosowanie architektoniczne), przy czym obowiązek ten nie dotyczy udostępniania sal jako wkład własny w projekcie</t>
  </si>
  <si>
    <r>
      <rPr>
        <b/>
        <sz val="10"/>
        <color theme="1"/>
        <rFont val="Arial"/>
        <family val="2"/>
        <charset val="238"/>
      </rPr>
      <t>70 PLN</t>
    </r>
    <r>
      <rPr>
        <sz val="10"/>
        <color theme="1"/>
        <rFont val="Arial"/>
        <family val="2"/>
        <charset val="238"/>
      </rPr>
      <t>/ za godzinę zegarową szkolenia</t>
    </r>
  </si>
  <si>
    <t>a) cena dotyczy wynajmu sali na szkolenia specjalistyczne wymagające określonego typu sprzętu, min. 12 stanowisk komputerowych (cena powinna być niższa, jeśli koszt obejmuje mniejszą liczbę stanowisk komputerowych)
b) cena obejmuje wynajem krótkoterminowy (w przypadku wynajmu sal na okres dłuższy niż 80 godzin zegarowych cena powinna być niższa)
c) cena nie dotyczy wynajmu sal wyposażonych w sprzęt specjalistyczny umożliwiający udział we wsparciu osób z innymi rodzajami niepełnosprawności niż niepełnosprawność ruchowa (np. sala z pętlą indukcyjną)</t>
  </si>
  <si>
    <t>7</t>
  </si>
  <si>
    <t>zakup materiałów biurowych dla uczestników szkolenia</t>
  </si>
  <si>
    <t>a) wydatek kwalifikowalny, o ile jest to uzasadnione specyfiką realizowanego projektu
b) wydatek kwalifikowalny, o ile przewidziane są w ramach realizowanego projektu szkolenia/warsztaty/doradztwo
c) obejmuje zestaw składający się z teczki, notesu, długopisu lub zestawu z dodatkowym pendrive, co dotyczy tylko dużej ilości materiałów szkoleniowych nagrywanych na pendrive, zamiast wydruku tych materiałów</t>
  </si>
  <si>
    <r>
      <rPr>
        <b/>
        <sz val="10"/>
        <color theme="1"/>
        <rFont val="Arial"/>
        <family val="2"/>
        <charset val="238"/>
      </rPr>
      <t>9 PLN</t>
    </r>
    <r>
      <rPr>
        <sz val="10"/>
        <color theme="1"/>
        <rFont val="Arial"/>
        <family val="2"/>
        <charset val="238"/>
      </rPr>
      <t xml:space="preserve">/zestaw bez pendrive lub
</t>
    </r>
    <r>
      <rPr>
        <b/>
        <sz val="10"/>
        <color theme="1"/>
        <rFont val="Arial"/>
        <family val="2"/>
        <charset val="238"/>
      </rPr>
      <t>24 PLN</t>
    </r>
    <r>
      <rPr>
        <sz val="10"/>
        <color theme="1"/>
        <rFont val="Arial"/>
        <family val="2"/>
        <charset val="238"/>
      </rPr>
      <t>/zestaw z pendrivem</t>
    </r>
  </si>
  <si>
    <t>a) cena rynkowa powinna być uzależniona od  rodzaju oferowanej usługi i jest niższa, jeśli finansowany jest mniejszy zakres usługi (np. notes i długopis)
b) - cena nie obejmuje kosztu logotypów (objęte są kosztami pośrednimi)</t>
  </si>
  <si>
    <t>przerwa kawowa</t>
  </si>
  <si>
    <t>a) wydatek kwalifikowalny, o ile jest to uzasadnione specyfiką realizowanego projektu
b) wydatek kwalifikowalny, o ile forma wsparcia, w ramach której ma być świadczona przerwa kawowa dotyczy tej samej grupy osób i nie jest przewidziany zimny bufet
c) obejmuje kawę, herbatę, wodę, mleko, cukier, cytryna,  drobne słone lub słodkie przekąski typu paluszki lub kruche ciastka lub owoce, przy czym istnieje możliwość szerszego zakresu usługi, o ile mieści się w określonej cenie rynkowej</t>
  </si>
  <si>
    <r>
      <rPr>
        <b/>
        <sz val="10"/>
        <color theme="1"/>
        <rFont val="Arial"/>
        <family val="2"/>
        <charset val="238"/>
      </rPr>
      <t>15 PLN</t>
    </r>
    <r>
      <rPr>
        <sz val="10"/>
        <color theme="1"/>
        <rFont val="Arial"/>
        <family val="2"/>
        <charset val="238"/>
      </rPr>
      <t>/osobę/dzień szkoleniowy</t>
    </r>
  </si>
  <si>
    <t>a) cena rynkowa powinna być uzależniona od  rodzaju oferowanej usługi i jest niższa, jeśli finansowany jest mniejszy zakres usługi (np. kawa, herbata, woda, mleko, cukier, cytryna bez drobnych słonych lub słodkich przekąsek)
b) W przypadku, gdy wsparcie dla tej samej grupy osób w danym dniu trwa powyżej 6 godzin lekcyjnych (tj. 6 x 45 minut) istnieje możliwość zapewnienia drugiej przerwy kawowej (dotyczy to również przypadku, gdy przewidziany jest zimny bufet).</t>
  </si>
  <si>
    <t>9</t>
  </si>
  <si>
    <t>zimny bufet</t>
  </si>
  <si>
    <t>a) wydatek kwalifikowalny, o ile jest to uzasadnione specyfiką realizowanego projektu
b) - wydatek kwalifikowalny, o ile forma wsparcia, w ramach której ma być świadczony zimny bufet dla tej samej grupy osób w danym dniu trwa co najmniej 4 godziny lekcyjne (tj. 4 x 45 minut) i nie jest przewidziany lunch/obiad 
c) - obejmuje kawę, herbatę, wodę, soki, mleko, cukier, cytryna,  drobne słone lub słodkie przekąski typu paluszki lub kruche ciastka lub owoce, kanapki, przekąski koktajlowe, przy czym istnieje możliwość szerszego zakresu usługi, o ile mieści się w określonej cenie rynkowej.</t>
  </si>
  <si>
    <r>
      <rPr>
        <b/>
        <sz val="10"/>
        <color theme="1"/>
        <rFont val="Arial"/>
        <family val="2"/>
        <charset val="238"/>
      </rPr>
      <t>25 PLN</t>
    </r>
    <r>
      <rPr>
        <sz val="10"/>
        <color theme="1"/>
        <rFont val="Arial"/>
        <family val="2"/>
        <charset val="238"/>
      </rPr>
      <t>/osobę/dzień szkoleniowy</t>
    </r>
  </si>
  <si>
    <t>a) cena rynkowa powinna być uzależniona od  rodzaju oferowanej usługi i jest niższa, jeśli finansowany jest mniejszy zakres usługi</t>
  </si>
  <si>
    <t>10</t>
  </si>
  <si>
    <t>lunch/ obiad/ kolacja</t>
  </si>
  <si>
    <t>a) wydatek kwalifikowalny, o ile jest to uzasadnione specyfiką realizowanego projektu
b) obejmuje dwa dania (zupa i drugie danie) oraz napój, przy czym istnieje możliwość szerszego zakresu usługi, o ile mieści się w określonej cenie rynkowej
c)w przypadku lunch/ obiadu wydatek kwalifikowalny, o ile wsparcie dla tej samej grupy osób w danym dniu trwa co najmniej 6 godzin lekcyjnych (tj. 6 x 45 minut) i nie jest przewidziany zimny bufet
d) w przypadku kolacji wydatek kwalifikowalny, o ile finansowana jest usługa noclegowa</t>
  </si>
  <si>
    <r>
      <rPr>
        <b/>
        <sz val="10"/>
        <color theme="1"/>
        <rFont val="Arial"/>
        <family val="2"/>
        <charset val="238"/>
      </rPr>
      <t>44 PLN</t>
    </r>
    <r>
      <rPr>
        <sz val="10"/>
        <color theme="1"/>
        <rFont val="Arial"/>
        <family val="2"/>
        <charset val="238"/>
      </rPr>
      <t>/osobę/ posiłek</t>
    </r>
  </si>
  <si>
    <t>a) cena rynkowa powinna być uzależniona od  rodzaju oferowanej usługi i jest niższa, jeśli finansowany jest mniejszy zakres usługi (np. obiad składający się tylko z drugiego dania i napoju)</t>
  </si>
  <si>
    <t>11</t>
  </si>
  <si>
    <t>nocleg w kraju</t>
  </si>
  <si>
    <t>a) wydatek kwalifikowalny, o ile jest to uzasadnione specyfiką realizowanego projektu
b) możliwość zagwarantowania noclegu dotyczy uczestników, którzy posiadają miejsce zamieszkania w miejscowości innej niż ta miejscowość, w której odbywa się szkolenie
c) wydatek kwalifikowalny, o ile wsparcie (np. szkolenie, spotkanie) dla tej samej grupy osób trwa co najmniej dwa dni
d) w przypadku wsparcia trwającego nie dłużej niż jeden dzień wydatek kwalifikowalny w sytuacji, gdy miejsce prowadzenia szkolenia/spotkania jest oddalone od miejsca zamieszkania osoby w nim uczestniczącej o więcej niż 50 km (drogą publiczną, a nie w linii prostej), a jednocześnie wsparcie zaczyna się nie później niż o godzinie 9.00 lub kończy się po godzinie 17.00, chyba że nie ma dostępnego dojazdu publicznymi środkami transportu
e) obejmuje nocleg w miejscu noclegowym o standardzie maksymalnie hotelu 3* wraz ze śniadaniem, przy czym istnieje możliwość szerszego zakresu usługi, o ile mieści się w określonej cenie rynkowej i jest to uzasadnione celami projektu</t>
  </si>
  <si>
    <r>
      <t xml:space="preserve">hotel o maksymalnym standardzie 3*:
- </t>
    </r>
    <r>
      <rPr>
        <b/>
        <sz val="10"/>
        <color theme="1"/>
        <rFont val="Arial"/>
        <family val="2"/>
        <charset val="238"/>
      </rPr>
      <t>240 PLN</t>
    </r>
    <r>
      <rPr>
        <sz val="10"/>
        <color theme="1"/>
        <rFont val="Arial"/>
        <family val="2"/>
        <charset val="238"/>
      </rPr>
      <t xml:space="preserve">/1 nocleg / 1 osoba
hotel o niższym standardzie niż 3* oraz pensjonat, motel itd.:
- </t>
    </r>
    <r>
      <rPr>
        <b/>
        <sz val="10"/>
        <color theme="1"/>
        <rFont val="Arial"/>
        <family val="2"/>
        <charset val="238"/>
      </rPr>
      <t>130 PLN</t>
    </r>
    <r>
      <rPr>
        <sz val="10"/>
        <color theme="1"/>
        <rFont val="Arial"/>
        <family val="2"/>
        <charset val="238"/>
      </rPr>
      <t>/1 nocleg / 1 osoba</t>
    </r>
  </si>
  <si>
    <t>a) cena rynkowa powinna być uzależniona od  rodzaju oferowanej usługi i jest niższa, jeśli finansowany jest mniejszy zakres usługi (np. nocleg w pokoju wieloosobowym, tj. 3-osobowym lub większym)
b) Nie dotyczy noclegów rozliczanych w ramach kosztów delegacji; w takim przypadku koszty przysługujące z tytułu podróży służbowych powinny być zgodne z rozporządzeniem Ministra Pracy i Polityki Społecznej z dnia 29 stycznia 2013 r. w sprawie należności przysługujących pracownikowi zatrudnionemu w państwowej lub samorządowej jednostce sfery budżetowej z tytułu podróży służbowe.</t>
  </si>
  <si>
    <t>12</t>
  </si>
  <si>
    <t xml:space="preserve">zwrot kosztów dojazdu </t>
  </si>
  <si>
    <t xml:space="preserve">a) wydatek kwalifikowalny w związku z uzasadnionymi potrzebami grupy docelowej (np. koszty dojazdów dla osób niepełnosprawnych, bezrobotnych)
b) wydatek kwalifikowalny do wysokości opłat za środki transportu publicznego szynowego lub kołowego (a w przypadku podróży międzynarodowych także transportu lotniczego) zgodnie z cennikiem biletów II klasy obowiązującym na danym obszarze, także w przypadku korzystania ze środków transportu prywatnego (w szczególności samochodem lub taksówką) jako refundacja wydatku faktycznie poniesionego do ww. wysokości </t>
  </si>
  <si>
    <t>cena uzależniona od cenników operatorów komunikacji publicznej</t>
  </si>
  <si>
    <t>Dotyczy przypadku, gdy zwrot kosztów dojazdu w projekcie jest rozliczany na podstawie faktycznie ponoszonych wydatków. Nie dotyczy kosztów dojazdu rozliczanych w ramach kosztów delegacji; w takim przypadku koszty przysługujące z tytułu podróży służbowych powinny być zgodne z rozporządzeniem Ministra Pracy i Polityki Społecznej z dnia 29 stycznia 2013 r. w sprawie należności przysługujących pracownikowi zatrudnionemu w państwowej lub samorządowej jednostce sfery budżetowej z tytułu podróży służbowe.</t>
  </si>
  <si>
    <t>Przeprowadzenie testów - wynagrodzenie specjalisty testera</t>
  </si>
  <si>
    <r>
      <rPr>
        <b/>
        <sz val="10"/>
        <color theme="1"/>
        <rFont val="Arial"/>
        <family val="2"/>
        <charset val="238"/>
      </rPr>
      <t>6 380 - 11 851,73 / m-c</t>
    </r>
    <r>
      <rPr>
        <sz val="10"/>
        <color theme="1"/>
        <rFont val="Arial"/>
        <family val="2"/>
        <charset val="238"/>
      </rPr>
      <t xml:space="preserve"> 
(39,88 zł/godz. -  74,00 zł/ godz.)</t>
    </r>
  </si>
  <si>
    <r>
      <t xml:space="preserve">https://zarobki.pracuj.pl/stanowiska/it-rozwoj-oprogramowania/tester-oprogramowania-ekspert
https://wynagrodzenia.pl/moja-placa/ile-zarabia-tester-oprogramowania
https://www.aplikuj.pl/porady-dla-pracownikow/2214/tester-oprogramowania-zarobki
</t>
    </r>
    <r>
      <rPr>
        <sz val="10"/>
        <color theme="1"/>
        <rFont val="Arial"/>
        <family val="2"/>
        <charset val="238"/>
      </rPr>
      <t>https://testerzy.pl/baza-wiedzy/analiza-zarobkow-testerow-2019-czesc-ii (tester charakterystyk 8446,43 netto, tj. ok. 11 851,73 brutto/ 160 godz.)</t>
    </r>
  </si>
  <si>
    <t>Przygotowanie scenariusza zajęć/ programu szkoleniowego</t>
  </si>
  <si>
    <r>
      <rPr>
        <b/>
        <sz val="10"/>
        <color theme="1"/>
        <rFont val="Arial"/>
        <family val="2"/>
        <charset val="238"/>
      </rPr>
      <t>143,13 zł/ godz.</t>
    </r>
    <r>
      <rPr>
        <sz val="10"/>
        <color theme="1"/>
        <rFont val="Arial"/>
        <family val="2"/>
        <charset val="238"/>
      </rPr>
      <t xml:space="preserve"> lub </t>
    </r>
    <r>
      <rPr>
        <b/>
        <sz val="10"/>
        <color theme="1"/>
        <rFont val="Arial"/>
        <family val="2"/>
        <charset val="238"/>
      </rPr>
      <t xml:space="preserve">92,27 za 1 str. </t>
    </r>
    <r>
      <rPr>
        <sz val="10"/>
        <color theme="1"/>
        <rFont val="Arial"/>
        <family val="2"/>
        <charset val="238"/>
      </rPr>
      <t>Scenariusza</t>
    </r>
  </si>
  <si>
    <t>https://efs.men.gov.pl/wp-content/uploads/2019/12/Zalacznik_nr_10_zestawienie_cen_i_standardow_szkola_cwiczen_wersja_3.pdf</t>
  </si>
  <si>
    <t>Opracowanie podręcznika/ skryptu/ materialów dydaktycznych/ wsadu merytorycznego</t>
  </si>
  <si>
    <r>
      <rPr>
        <b/>
        <sz val="10"/>
        <color theme="1"/>
        <rFont val="Arial"/>
        <family val="2"/>
        <charset val="238"/>
      </rPr>
      <t>1000 zł /40 str.</t>
    </r>
    <r>
      <rPr>
        <sz val="10"/>
        <color theme="1"/>
        <rFont val="Arial"/>
        <family val="2"/>
        <charset val="238"/>
      </rPr>
      <t xml:space="preserve"> lub </t>
    </r>
    <r>
      <rPr>
        <b/>
        <sz val="10"/>
        <color theme="1"/>
        <rFont val="Arial"/>
        <family val="2"/>
        <charset val="238"/>
      </rPr>
      <t>80 zł/ godz.</t>
    </r>
  </si>
  <si>
    <t>https://innowacje.spoldzielnie.org/wp-content/uploads/2020/04/Wykaz-%C5%9Brednich-rekomendowanych-stawek.pdf
lub stawka z projektu POWR.03.05.00-00-Z303/17 w ramach naboru POWR.03.05.00-IP.08-00-PZ3/17</t>
  </si>
  <si>
    <t>Budowa platformy internetowej</t>
  </si>
  <si>
    <t xml:space="preserve">4046,70 - 6150 zł </t>
  </si>
  <si>
    <t>https://soluma.pl/cenniki/cennik-tworzenia-stron-www
https://www.grupa-tense.pl/blog/ile-kosztuje-strona-internetowa-cennik/
https://echomarketing.pl/ile-kosztuje-strona-internetowa-cena-utworzenia-stron-www/</t>
  </si>
  <si>
    <t>Utrzymanie serwera</t>
  </si>
  <si>
    <t>167,40 - 492 zł /rok</t>
  </si>
  <si>
    <t xml:space="preserve">https://www.nazwa.pl/cennik/cennik-cloudhosting/
https://www.ehost.pl/hosting_cennik.php
https://zenbox.pl/cennik/
</t>
  </si>
  <si>
    <t xml:space="preserve">Administrowanie platformą inernetową </t>
  </si>
  <si>
    <t>209,10 - 490,77  /m-c</t>
  </si>
  <si>
    <t>https://thenewlook.pl/administracja-strony-internetowej-cennik/
https://prodesigner.pl/administracja-strony-internetowej-cennik/
https://www.elkomtel.pl/cennik-administracji-stronami-internetowymi</t>
  </si>
  <si>
    <t>Stworzenie programu/aplikacji - wynagrodzenie programisty</t>
  </si>
  <si>
    <r>
      <t xml:space="preserve">
</t>
    </r>
    <r>
      <rPr>
        <b/>
        <sz val="10"/>
        <color theme="1"/>
        <rFont val="Arial"/>
        <family val="2"/>
        <charset val="238"/>
      </rPr>
      <t xml:space="preserve">7 780 - 12 000 / m-c
</t>
    </r>
    <r>
      <rPr>
        <b/>
        <sz val="10"/>
        <color rgb="FF00B050"/>
        <rFont val="Arial"/>
        <family val="2"/>
        <charset val="238"/>
      </rPr>
      <t>śr. Z szacowania (130+100+190+200)/4=155 zł/h netto tj. 190 zł brutto</t>
    </r>
    <r>
      <rPr>
        <b/>
        <sz val="10"/>
        <color theme="1"/>
        <rFont val="Arial"/>
        <family val="2"/>
        <charset val="238"/>
      </rPr>
      <t xml:space="preserve">
</t>
    </r>
    <r>
      <rPr>
        <sz val="10"/>
        <color theme="1"/>
        <rFont val="Arial"/>
        <family val="2"/>
        <charset val="238"/>
      </rPr>
      <t xml:space="preserve">
(46,25 - 75 zł/ godz.na podstawie wynagrodzenia miesięcznego)</t>
    </r>
  </si>
  <si>
    <t xml:space="preserve">
120-140 zł netto/ godz.
80 - 120 zł netto/ godz.
130 do 250 zł/h netto/ godz.
150-250 zł netto / godz.
https://zarobki.pracuj.pl/raporty-i-trendy-placowe/ile-zarabia-programista-komputerowy/
https://wynagrodzenia.pl/moja-placa/ile-zarabia-programista-stanowisko-ogolne
https://codecool.com/pl/wiedza/ile-zarabia-programista/</t>
  </si>
  <si>
    <t>Wynagrodzenie grafika komputerowego</t>
  </si>
  <si>
    <r>
      <rPr>
        <b/>
        <sz val="10"/>
        <color theme="1"/>
        <rFont val="Arial"/>
        <family val="2"/>
        <charset val="238"/>
      </rPr>
      <t xml:space="preserve">4 510 - 6 200 / m-c
</t>
    </r>
    <r>
      <rPr>
        <b/>
        <sz val="10"/>
        <color rgb="FF00B050"/>
        <rFont val="Arial"/>
        <family val="2"/>
        <charset val="238"/>
      </rPr>
      <t>śr. Z szacowania (49+50+100)/3=66,33 zł/h netto tj. 82 zł brutto</t>
    </r>
    <r>
      <rPr>
        <sz val="10"/>
        <color theme="1"/>
        <rFont val="Arial"/>
        <family val="2"/>
        <charset val="238"/>
      </rPr>
      <t xml:space="preserve">
(28,19 - 38,75 zł/ godz.na podstawie wynagrodzenia miesięcznego)</t>
    </r>
  </si>
  <si>
    <t>29 – 69 zł/ godz.
40 - 60 zł netto/ godz.
123 zł brutto/ godz.
https://wynagrodzenia.pl/moja-placa/ile-zarabia-grafik-komputerowy
https://zarobki.pracuj.pl/raporty-i-trendy-placowe/zarobki-grafika-komputerowego/ (specjalista DTP)
https://praca.olx.pl/pracownik/kalkulatory/analiza-wynagrodzen</t>
  </si>
  <si>
    <t>Wynagrodzenie projektanta/ designera</t>
  </si>
  <si>
    <r>
      <rPr>
        <b/>
        <sz val="10"/>
        <color theme="1"/>
        <rFont val="Arial"/>
        <family val="2"/>
        <charset val="238"/>
      </rPr>
      <t xml:space="preserve">6 100 - 9 944 zł m-c
</t>
    </r>
    <r>
      <rPr>
        <b/>
        <sz val="10"/>
        <color rgb="FF00B050"/>
        <rFont val="Arial"/>
        <family val="2"/>
        <charset val="238"/>
      </rPr>
      <t>śr. z szacowania (150+50+350+60)/4=152,50 zł/h netto tj. 187,50 zł brutto</t>
    </r>
    <r>
      <rPr>
        <sz val="10"/>
        <color theme="1"/>
        <rFont val="Arial"/>
        <family val="2"/>
        <charset val="238"/>
      </rPr>
      <t xml:space="preserve">
(27,46 - 62,15 zł/ godz.na podstawie wynagrodzenia miesięcznego)</t>
    </r>
  </si>
  <si>
    <t>50 - 250 zł netto/ godz.
50 netto/ godz.
300 - 400 zł netto/ godz.
60 zł netto/ godz.
https://wynagrodzenia.pl/moja-placa/ile-zarabia-ui-ux-designer
https://zarobki.pracuj.pl/stanowiska/inzynieria/projektant-inzynieria
 (projektant grafiki)
https://www.pulshr.pl/wynagrodzenia/ile-zarabiaja-inzynierowie-projektanci-i-konstruktorzy,25467.html</t>
  </si>
  <si>
    <t xml:space="preserve">Opracowanie raportu/ analiza danych/ ewaluacja </t>
  </si>
  <si>
    <t>300 - 575 zł</t>
  </si>
  <si>
    <t>https://www.biostat.com.pl/analiza-danych-cennik.php
http://statystyka-ankieta.pl/cennik#
https://pogotowiestatystyczne.pl/ceny/</t>
  </si>
  <si>
    <t>Wydruk materiałów/ podręczników</t>
  </si>
  <si>
    <r>
      <rPr>
        <b/>
        <sz val="10"/>
        <color theme="1"/>
        <rFont val="Arial"/>
        <family val="2"/>
        <charset val="238"/>
      </rPr>
      <t>30 zł - 74 zł</t>
    </r>
    <r>
      <rPr>
        <sz val="10"/>
        <color theme="1"/>
        <rFont val="Arial"/>
        <family val="2"/>
        <charset val="238"/>
      </rPr>
      <t xml:space="preserve"> (100 str.)</t>
    </r>
  </si>
  <si>
    <t>http://taniekserowanie.pl/?gclid=Cj0KCQiAhP2BBhDdARIsAJEzXlGOloLo-UCeVm5ShLmTaMMaqqFOfjYjPbYARYBxuLtNpXajV18UUdUaAmh3EALw_wcB
https://wydrukujemy.to/druk/druk-dokumentow/
http://www.drukomatic.pl/booksCalc.asp?gclid=Cj0KCQiAhP2BBhDdARIsAJEzXlEZNIEDGJaac2g7ZNESL-ZRxmUB8FvvzaXwhAEE3lF-iyrtBjx-eT8aAtp6EALw_wcB (screen na ftp po wyborze odpowiednich opcji wyszło przy nakladzie 5 szt. 62,51 za szt.)</t>
  </si>
  <si>
    <t>Nagranie filmów</t>
  </si>
  <si>
    <t>1500 - 5535 zł</t>
  </si>
  <si>
    <t>https://www.reklamowy-film.pl/ceny-cennik-filmow-reklamowych-produkcji-filmowej-clipy-reklamowe-spoty-promocyjne.html
https://eventmovie.pl/cennik/
https://semastudio.pl/cennik-filmow/ (przy średniej cenie brutto Basic)</t>
  </si>
  <si>
    <t>Laptop/ komputer</t>
  </si>
  <si>
    <t>wydatek kwalifikowalny, o ile laptop posiada parametry biurowe z oprogramowaniem systemowym i podstawowym pakietem biurowym (licencja na 12 miesięcy)</t>
  </si>
  <si>
    <t>2500 - 3499 zł</t>
  </si>
  <si>
    <t>https://semastudio.pl/cennik-filmow/
https://www.komputronik.pl/product/692948/asus-vivobook-15-x509ja-bq241t-szary.html
https://www.euro.com.pl/komputery-stacjonarne-pc/lenovo-komputer-lenovo-r5-16gb-512-16506gb-w10.bhtml
https://www.funduszeeuropejskie.gov.pl/media/98256/Zal_3_.pdf (taryfikator 4.1 POWER 2021  - 2500 za laptop)</t>
  </si>
  <si>
    <t>Marketing/ copywriting</t>
  </si>
  <si>
    <r>
      <rPr>
        <b/>
        <sz val="10"/>
        <color theme="1"/>
        <rFont val="Arial"/>
        <family val="2"/>
        <charset val="238"/>
      </rPr>
      <t xml:space="preserve">4000 zł - 6 040 zł /m-c
</t>
    </r>
    <r>
      <rPr>
        <b/>
        <sz val="10"/>
        <color rgb="FF00B050"/>
        <rFont val="Arial"/>
        <family val="2"/>
        <charset val="238"/>
      </rPr>
      <t>śr. Z szacowania: (250+150+160+150+250)/5=192 zł netto, tj. 236,16 brutto</t>
    </r>
    <r>
      <rPr>
        <b/>
        <sz val="10"/>
        <color theme="1"/>
        <rFont val="Arial"/>
        <family val="2"/>
        <charset val="238"/>
      </rPr>
      <t xml:space="preserve">
</t>
    </r>
    <r>
      <rPr>
        <sz val="10"/>
        <color theme="1"/>
        <rFont val="Arial"/>
        <family val="2"/>
        <charset val="238"/>
      </rPr>
      <t>(25 zł - 37,75 godz. na podstawie wynagrodzenia miesięcznego)</t>
    </r>
  </si>
  <si>
    <t>200-300 zł netto/ godz.
Copywriter: 150zł / godz.
Art. Director: 160zł / godz.
Account Manager: 150 zł/ godz.
Startegy Direcotr – 250zł / godz.
https://wynagrodzenia.pl/moja-placa/ile-zarabia-copywriter
https://www.zawody.pl/ile-zarabia-marketingowiec/ (wynagrodzenie specjalisty ds. Marketingu)
https://zarobki.pracuj.pl/stanowiska/reklama-grafika-kreacja-fotografia/copywriter</t>
  </si>
  <si>
    <t>Nabycie projektora multimedialnego</t>
  </si>
  <si>
    <t>https://www.funduszeeuropejskie.gov.pl/media/98256/Zal_3_.pdf (taryfikator 4.1 POWER 2021)</t>
  </si>
  <si>
    <t>Nabycie ekranu projekcyjnego</t>
  </si>
  <si>
    <t>Nabycie urządzenia wielofunkcyjnego</t>
  </si>
  <si>
    <t>szt.</t>
  </si>
  <si>
    <t>Rezultaty cząstkowe etapu 1</t>
  </si>
  <si>
    <t>Źródło pomiaru</t>
  </si>
  <si>
    <t>Ryzyko w etapie 1</t>
  </si>
  <si>
    <t>Opis ryzyka</t>
  </si>
  <si>
    <t>Prawdopodobieńśtwo wystąpienia</t>
  </si>
  <si>
    <t>Metody minimalizacji</t>
  </si>
  <si>
    <t>Ryzyko</t>
  </si>
  <si>
    <t>Wysokie</t>
  </si>
  <si>
    <t>Umiarkowane</t>
  </si>
  <si>
    <t>Niskie</t>
  </si>
  <si>
    <t>Jednostka</t>
  </si>
  <si>
    <t>Ryzyko w etapie 2</t>
  </si>
  <si>
    <t>Rezultaty cząstkowe etapu 2</t>
  </si>
  <si>
    <t>Wskaźniki ilościowe</t>
  </si>
  <si>
    <t>Wskaźniki jakościowe</t>
  </si>
  <si>
    <t>Start (data):</t>
  </si>
  <si>
    <t>Koniec (data):</t>
  </si>
  <si>
    <t>RAZEM PROTOTYP 3:</t>
  </si>
  <si>
    <t>RAZEM ETAP 3:</t>
  </si>
  <si>
    <t>Ryzyko w etapie 3</t>
  </si>
  <si>
    <t>Rezultaty cząstkowe etapu 3</t>
  </si>
  <si>
    <t>OPIS PRODUKTU KOŃCOWEGO</t>
  </si>
  <si>
    <r>
      <t xml:space="preserve">OPIS REZULTATU
</t>
    </r>
    <r>
      <rPr>
        <sz val="11"/>
        <color theme="1"/>
        <rFont val="Calibri"/>
        <family val="2"/>
        <charset val="238"/>
        <scheme val="minor"/>
      </rPr>
      <t>Opis rezultatu końcowego powinien być możliwie szczegółowy tj. z czego będzie się składało rozwiązanie (wszystkie elementy fizyczne i niematerialne).</t>
    </r>
  </si>
  <si>
    <r>
      <t xml:space="preserve">WSKAŹNIKI ILOŚCIOWE
</t>
    </r>
    <r>
      <rPr>
        <sz val="11"/>
        <color theme="1"/>
        <rFont val="Calibri"/>
        <family val="2"/>
        <charset val="238"/>
        <scheme val="minor"/>
      </rPr>
      <t>(w tym opis sposobu pomiaru oraz  wykaz i opis źródeł na podstawie, których dokonany zostanie pomiar wskaźników)</t>
    </r>
  </si>
  <si>
    <r>
      <t xml:space="preserve">WSKAŹNIKI JAKOŚCIOWE
</t>
    </r>
    <r>
      <rPr>
        <sz val="11"/>
        <color theme="1"/>
        <rFont val="Calibri"/>
        <family val="2"/>
        <charset val="238"/>
        <scheme val="minor"/>
      </rPr>
      <t>(w tym opis sposobu pomiaru oraz  wykaz i opis źródeł na podstawie, których dokonany zostanie pomiar wskaźników)</t>
    </r>
  </si>
  <si>
    <r>
      <t xml:space="preserve">DOKUMENTACJA
</t>
    </r>
    <r>
      <rPr>
        <sz val="11"/>
        <color theme="1"/>
        <rFont val="Calibri"/>
        <family val="2"/>
        <charset val="238"/>
        <scheme val="minor"/>
      </rPr>
      <t xml:space="preserve">Opisz sposób w jaki przekażesz Innowację np. pliki, dokumenty, wydruki, etc. </t>
    </r>
  </si>
  <si>
    <t>Na podstawie tego punktu oceniane będzie kryterium dotyczące UNIKATOWOŚCI ROZWIĄZANIA.</t>
  </si>
  <si>
    <t>wynagrodzenie za pracę własną Innowatora</t>
  </si>
  <si>
    <t>wysokość wydatku uzależniona od kwalifikacji i doświadczenia Innowatora</t>
  </si>
  <si>
    <t>śr. 100 zł / godz.</t>
  </si>
  <si>
    <t>komplet</t>
  </si>
  <si>
    <t>miesiąc</t>
  </si>
  <si>
    <t>osobodzień</t>
  </si>
  <si>
    <t>strona</t>
  </si>
  <si>
    <t>Zadania na etapie prototypu 3</t>
  </si>
  <si>
    <t>Zadania na etapie testowania 1</t>
  </si>
  <si>
    <t>Zadania na etapie testowania 2</t>
  </si>
  <si>
    <t>Zadania na etapie prototypu 2</t>
  </si>
  <si>
    <t>PROTOTYP 1</t>
  </si>
  <si>
    <t>PROTOTYP 2</t>
  </si>
  <si>
    <t>PROTOTYP 3</t>
  </si>
  <si>
    <t>TESTOWANIE 1</t>
  </si>
  <si>
    <t>TESTOWANIE 2</t>
  </si>
  <si>
    <t>Prawdopodobieństwo wystąpienia</t>
  </si>
  <si>
    <t>RAZEM TESTOWANIE 2:</t>
  </si>
  <si>
    <t>RAZEM PROTOTYP 2:</t>
  </si>
  <si>
    <t>RAZEM ETAP 2:</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</si>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</sst>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zł&quot;;[Red]\-#,##0\ &quot;zł&quot;"/>
    <numFmt numFmtId="43" formatCode="_-* #,##0.00_-;\-* #,##0.00_-;_-* &quot;-&quot;??_-;_-@_-"/>
    <numFmt numFmtId="164" formatCode="#,##0.00\ &quot;zł&quot;"/>
  </numFmts>
  <fonts count="2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scheme val="minor"/>
    </font>
    <font>
      <sz val="11"/>
      <color theme="1"/>
      <name val="Calibri"/>
      <family val="2"/>
      <scheme val="minor"/>
    </font>
    <font>
      <b/>
      <sz val="11"/>
      <color theme="0"/>
      <name val="Calibri"/>
      <family val="2"/>
      <charset val="238"/>
      <scheme val="minor"/>
    </font>
    <font>
      <b/>
      <sz val="16"/>
      <color theme="1"/>
      <name val="Calibri"/>
      <family val="2"/>
      <charset val="238"/>
      <scheme val="minor"/>
    </font>
    <font>
      <b/>
      <sz val="16"/>
      <color theme="0"/>
      <name val="Calibri"/>
      <family val="2"/>
      <charset val="238"/>
      <scheme val="minor"/>
    </font>
    <font>
      <b/>
      <sz val="20"/>
      <color theme="0"/>
      <name val="Calibri"/>
      <family val="2"/>
      <charset val="238"/>
      <scheme val="minor"/>
    </font>
    <font>
      <b/>
      <sz val="14"/>
      <color theme="0"/>
      <name val="Calibri"/>
      <family val="2"/>
      <charset val="238"/>
      <scheme val="minor"/>
    </font>
    <font>
      <b/>
      <sz val="10"/>
      <color theme="1"/>
      <name val="Arial"/>
      <family val="2"/>
      <charset val="238"/>
    </font>
    <font>
      <sz val="10"/>
      <color theme="1"/>
      <name val="Arial"/>
      <family val="2"/>
      <charset val="238"/>
    </font>
    <font>
      <u/>
      <sz val="11"/>
      <color theme="10"/>
      <name val="Calibri"/>
      <family val="2"/>
      <charset val="238"/>
      <scheme val="minor"/>
    </font>
    <font>
      <u/>
      <sz val="10"/>
      <color theme="10"/>
      <name val="Arial"/>
      <family val="2"/>
      <charset val="238"/>
    </font>
    <font>
      <b/>
      <sz val="10"/>
      <color rgb="FF00B050"/>
      <name val="Arial"/>
      <family val="2"/>
      <charset val="238"/>
    </font>
    <font>
      <b/>
      <sz val="11"/>
      <color theme="1"/>
      <name val="Calibri"/>
      <family val="2"/>
      <scheme val="minor"/>
    </font>
    <font>
      <b/>
      <sz val="14"/>
      <color theme="0"/>
      <name val="Calibri"/>
      <family val="2"/>
      <scheme val="minor"/>
    </font>
    <font>
      <b/>
      <sz val="16"/>
      <name val="Calibri"/>
      <family val="2"/>
      <charset val="238"/>
      <scheme val="minor"/>
    </font>
    <font>
      <sz val="11"/>
      <name val="Calibri"/>
      <family val="2"/>
      <scheme val="minor"/>
    </font>
    <font>
      <b/>
      <sz val="11"/>
      <name val="Calibri"/>
      <family val="2"/>
      <scheme val="minor"/>
    </font>
    <font>
      <sz val="11"/>
      <color rgb="FF000000"/>
      <name val="Calibri"/>
      <family val="2"/>
      <scheme val="minor"/>
    </font>
    <font>
      <sz val="11"/>
      <name val="Calibri"/>
      <family val="2"/>
      <charset val="238"/>
      <scheme val="minor"/>
    </font>
    <font>
      <sz val="11"/>
      <color rgb="FF000000"/>
      <name val="Calibri"/>
      <family val="2"/>
      <charset val="238"/>
      <scheme val="minor"/>
    </font>
    <font>
      <u/>
      <sz val="11"/>
      <color theme="1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rgb="FFFFFFFF"/>
        <bgColor rgb="FF000000"/>
      </patternFill>
    </fill>
    <fill>
      <patternFill patternType="solid">
        <fgColor rgb="FFF2F2F2"/>
        <bgColor rgb="FF000000"/>
      </patternFill>
    </fill>
    <fill>
      <patternFill patternType="solid">
        <fgColor rgb="FFFFFFFF"/>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5">
    <xf numFmtId="0" fontId="0" fillId="0" borderId="0"/>
    <xf numFmtId="43" fontId="5" fillId="0" borderId="0" applyFont="0" applyFill="0" applyBorder="0" applyAlignment="0" applyProtection="0"/>
    <xf numFmtId="0" fontId="2" fillId="0" borderId="0"/>
    <xf numFmtId="0" fontId="13" fillId="0" borderId="0" applyNumberFormat="0" applyFill="0" applyBorder="0" applyAlignment="0" applyProtection="0"/>
    <xf numFmtId="0" fontId="24" fillId="0" borderId="0" applyNumberFormat="0" applyFill="0" applyBorder="0" applyAlignment="0" applyProtection="0"/>
  </cellStyleXfs>
  <cellXfs count="279">
    <xf numFmtId="0" fontId="0" fillId="0" borderId="0" xfId="0"/>
    <xf numFmtId="0" fontId="3" fillId="0" borderId="0" xfId="0" applyFont="1"/>
    <xf numFmtId="0" fontId="0" fillId="3" borderId="0" xfId="0" applyFill="1" applyBorder="1"/>
    <xf numFmtId="0" fontId="0" fillId="3" borderId="0" xfId="0" applyFill="1"/>
    <xf numFmtId="0" fontId="3" fillId="3" borderId="0" xfId="0" applyFont="1" applyFill="1" applyAlignment="1">
      <alignment horizontal="center"/>
    </xf>
    <xf numFmtId="0" fontId="0" fillId="3" borderId="0" xfId="0" applyFill="1" applyAlignment="1">
      <alignment horizontal="center"/>
    </xf>
    <xf numFmtId="0" fontId="11" fillId="7" borderId="9" xfId="2" applyFont="1" applyFill="1" applyBorder="1" applyAlignment="1">
      <alignment horizontal="center" vertical="center" wrapText="1"/>
    </xf>
    <xf numFmtId="0" fontId="11" fillId="7" borderId="9" xfId="2" applyFont="1" applyFill="1" applyBorder="1" applyAlignment="1">
      <alignment horizontal="left" vertical="center" wrapText="1"/>
    </xf>
    <xf numFmtId="0" fontId="11" fillId="7" borderId="9" xfId="2" applyFont="1" applyFill="1" applyBorder="1" applyAlignment="1">
      <alignment vertical="center" wrapText="1"/>
    </xf>
    <xf numFmtId="0" fontId="3" fillId="0" borderId="0" xfId="2" applyFont="1"/>
    <xf numFmtId="0" fontId="2" fillId="0" borderId="0" xfId="2"/>
    <xf numFmtId="0" fontId="12" fillId="0" borderId="9" xfId="2" applyFont="1" applyBorder="1" applyAlignment="1">
      <alignment horizontal="center"/>
    </xf>
    <xf numFmtId="0" fontId="11" fillId="0" borderId="9" xfId="2" applyFont="1" applyBorder="1" applyAlignment="1">
      <alignment horizontal="left" vertical="center" wrapText="1"/>
    </xf>
    <xf numFmtId="0" fontId="12" fillId="0" borderId="9" xfId="2" applyFont="1" applyBorder="1"/>
    <xf numFmtId="0" fontId="12" fillId="0" borderId="9" xfId="2" applyFont="1" applyBorder="1" applyAlignment="1">
      <alignment horizontal="center" vertical="center" wrapText="1"/>
    </xf>
    <xf numFmtId="0" fontId="14" fillId="0" borderId="9" xfId="3" applyFont="1" applyFill="1" applyBorder="1" applyAlignment="1">
      <alignment wrapText="1"/>
    </xf>
    <xf numFmtId="0" fontId="11" fillId="0" borderId="9" xfId="2" applyFont="1" applyBorder="1" applyAlignment="1">
      <alignment horizontal="center" vertical="center"/>
    </xf>
    <xf numFmtId="0" fontId="12" fillId="0" borderId="9" xfId="2" applyFont="1" applyBorder="1" applyAlignment="1">
      <alignment wrapText="1"/>
    </xf>
    <xf numFmtId="6" fontId="11" fillId="0" borderId="9" xfId="2" applyNumberFormat="1" applyFont="1" applyBorder="1" applyAlignment="1">
      <alignment horizontal="center" vertical="center"/>
    </xf>
    <xf numFmtId="0" fontId="12" fillId="0" borderId="9" xfId="2" applyFont="1" applyBorder="1" applyAlignment="1">
      <alignment horizontal="center" vertical="center"/>
    </xf>
    <xf numFmtId="0" fontId="11" fillId="0" borderId="9" xfId="2" applyFont="1" applyBorder="1" applyAlignment="1">
      <alignment horizontal="left" vertical="center"/>
    </xf>
    <xf numFmtId="6" fontId="12" fillId="0" borderId="9" xfId="2" applyNumberFormat="1" applyFont="1" applyBorder="1" applyAlignment="1">
      <alignment horizontal="center" vertical="center" wrapText="1"/>
    </xf>
    <xf numFmtId="164" fontId="11" fillId="0" borderId="9" xfId="2" applyNumberFormat="1" applyFont="1" applyBorder="1" applyAlignment="1">
      <alignment horizontal="center" vertical="center"/>
    </xf>
    <xf numFmtId="0" fontId="12" fillId="0" borderId="0" xfId="2" applyFont="1" applyAlignment="1">
      <alignment horizontal="center"/>
    </xf>
    <xf numFmtId="0" fontId="11" fillId="0" borderId="0" xfId="2" applyFont="1" applyAlignment="1">
      <alignment horizontal="left" vertical="center"/>
    </xf>
    <xf numFmtId="0" fontId="12" fillId="0" borderId="0" xfId="2" applyFont="1"/>
    <xf numFmtId="0" fontId="12" fillId="0" borderId="0" xfId="2" applyFont="1" applyAlignment="1">
      <alignment horizontal="center" vertical="center"/>
    </xf>
    <xf numFmtId="0" fontId="3" fillId="9" borderId="13" xfId="0" applyFont="1" applyFill="1" applyBorder="1" applyAlignment="1">
      <alignment horizontal="center"/>
    </xf>
    <xf numFmtId="0" fontId="3" fillId="9" borderId="14" xfId="0" applyFont="1" applyFill="1" applyBorder="1" applyAlignment="1">
      <alignment horizontal="center"/>
    </xf>
    <xf numFmtId="0" fontId="0" fillId="9" borderId="16" xfId="0" applyFill="1" applyBorder="1" applyAlignment="1">
      <alignment horizontal="center"/>
    </xf>
    <xf numFmtId="0" fontId="0" fillId="9" borderId="18" xfId="0" applyFill="1" applyBorder="1" applyAlignment="1">
      <alignment horizontal="center"/>
    </xf>
    <xf numFmtId="0" fontId="3" fillId="9" borderId="16" xfId="0" applyFont="1" applyFill="1" applyBorder="1" applyAlignment="1">
      <alignment horizontal="center"/>
    </xf>
    <xf numFmtId="0" fontId="3" fillId="9" borderId="17" xfId="0" applyFont="1" applyFill="1" applyBorder="1" applyAlignment="1">
      <alignment horizontal="center"/>
    </xf>
    <xf numFmtId="0" fontId="0" fillId="9" borderId="9" xfId="0" applyFill="1" applyBorder="1" applyAlignment="1">
      <alignment horizontal="center"/>
    </xf>
    <xf numFmtId="0" fontId="0" fillId="9" borderId="19" xfId="0" applyFill="1" applyBorder="1" applyAlignment="1">
      <alignment horizontal="center"/>
    </xf>
    <xf numFmtId="0" fontId="0" fillId="2" borderId="9" xfId="0" applyFill="1" applyBorder="1" applyAlignment="1">
      <alignment horizontal="center"/>
    </xf>
    <xf numFmtId="0" fontId="0" fillId="2" borderId="19" xfId="0" applyFill="1" applyBorder="1" applyAlignment="1">
      <alignment horizontal="center"/>
    </xf>
    <xf numFmtId="0" fontId="3" fillId="11" borderId="9" xfId="0" applyFont="1" applyFill="1" applyBorder="1" applyAlignment="1">
      <alignment horizontal="center"/>
    </xf>
    <xf numFmtId="0" fontId="3" fillId="11" borderId="16" xfId="0" applyFont="1" applyFill="1" applyBorder="1" applyAlignment="1">
      <alignment horizontal="center"/>
    </xf>
    <xf numFmtId="0" fontId="3" fillId="11" borderId="17" xfId="0" applyFont="1"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16" fillId="0" borderId="0" xfId="0" applyFont="1"/>
    <xf numFmtId="0" fontId="0" fillId="2" borderId="9" xfId="0" applyFill="1" applyBorder="1" applyAlignment="1">
      <alignment horizontal="center"/>
    </xf>
    <xf numFmtId="0" fontId="0" fillId="2" borderId="4" xfId="0" applyFill="1" applyBorder="1"/>
    <xf numFmtId="0" fontId="7" fillId="2" borderId="0" xfId="0" applyFont="1" applyFill="1" applyBorder="1" applyAlignment="1">
      <alignment horizontal="center"/>
    </xf>
    <xf numFmtId="0" fontId="0" fillId="2" borderId="5" xfId="0" applyFill="1" applyBorder="1"/>
    <xf numFmtId="0" fontId="3" fillId="2" borderId="0" xfId="0" applyFont="1" applyFill="1" applyBorder="1"/>
    <xf numFmtId="0" fontId="0" fillId="2" borderId="0" xfId="0" applyFill="1" applyBorder="1"/>
    <xf numFmtId="0" fontId="0" fillId="2" borderId="16" xfId="0" applyNumberFormat="1" applyFill="1" applyBorder="1" applyAlignment="1">
      <alignment horizontal="center"/>
    </xf>
    <xf numFmtId="0" fontId="0" fillId="2" borderId="0" xfId="0" applyFill="1" applyBorder="1" applyAlignment="1">
      <alignment horizontal="center"/>
    </xf>
    <xf numFmtId="0" fontId="0" fillId="2" borderId="18" xfId="0" applyNumberFormat="1" applyFill="1" applyBorder="1" applyAlignment="1">
      <alignment horizontal="center"/>
    </xf>
    <xf numFmtId="0" fontId="3" fillId="2" borderId="24" xfId="0" applyFont="1" applyFill="1" applyBorder="1" applyAlignment="1">
      <alignment horizontal="center"/>
    </xf>
    <xf numFmtId="0" fontId="0" fillId="2" borderId="6" xfId="0" applyFill="1" applyBorder="1"/>
    <xf numFmtId="0" fontId="0" fillId="2" borderId="7" xfId="0" applyFill="1" applyBorder="1"/>
    <xf numFmtId="0" fontId="0" fillId="2" borderId="8" xfId="0" applyFill="1" applyBorder="1"/>
    <xf numFmtId="0" fontId="3" fillId="7" borderId="14" xfId="0" applyFont="1" applyFill="1" applyBorder="1"/>
    <xf numFmtId="0" fontId="3" fillId="7" borderId="19" xfId="0" applyFont="1" applyFill="1" applyBorder="1"/>
    <xf numFmtId="0" fontId="6" fillId="3" borderId="23" xfId="0" applyFont="1" applyFill="1" applyBorder="1" applyAlignment="1">
      <alignment horizontal="center"/>
    </xf>
    <xf numFmtId="0" fontId="3" fillId="7" borderId="16" xfId="0" applyFont="1" applyFill="1" applyBorder="1" applyAlignment="1">
      <alignment horizontal="center"/>
    </xf>
    <xf numFmtId="0" fontId="3" fillId="7" borderId="9" xfId="0" applyFont="1" applyFill="1" applyBorder="1" applyAlignment="1">
      <alignment horizontal="center"/>
    </xf>
    <xf numFmtId="0" fontId="3" fillId="7" borderId="17" xfId="0" applyFont="1" applyFill="1" applyBorder="1" applyAlignment="1">
      <alignment horizontal="center"/>
    </xf>
    <xf numFmtId="0" fontId="0" fillId="12" borderId="10" xfId="0" applyFill="1" applyBorder="1"/>
    <xf numFmtId="0" fontId="0" fillId="12" borderId="12" xfId="0" applyFill="1" applyBorder="1"/>
    <xf numFmtId="0" fontId="19" fillId="2" borderId="4" xfId="0" applyFont="1" applyFill="1" applyBorder="1"/>
    <xf numFmtId="0" fontId="19" fillId="2" borderId="5" xfId="0" applyFont="1" applyFill="1" applyBorder="1"/>
    <xf numFmtId="0" fontId="20" fillId="2" borderId="0" xfId="0" applyFont="1" applyFill="1" applyBorder="1" applyAlignment="1">
      <alignment horizontal="center"/>
    </xf>
    <xf numFmtId="0" fontId="11" fillId="0" borderId="9" xfId="2" applyFont="1" applyBorder="1" applyAlignment="1">
      <alignment horizontal="left" vertical="center" wrapText="1"/>
    </xf>
    <xf numFmtId="14" fontId="3" fillId="2" borderId="15" xfId="0" applyNumberFormat="1" applyFont="1" applyFill="1" applyBorder="1"/>
    <xf numFmtId="14" fontId="3" fillId="2" borderId="20" xfId="0" applyNumberFormat="1" applyFont="1" applyFill="1" applyBorder="1"/>
    <xf numFmtId="0" fontId="3" fillId="11" borderId="13" xfId="0" applyFont="1" applyFill="1" applyBorder="1" applyAlignment="1">
      <alignment horizontal="center"/>
    </xf>
    <xf numFmtId="0" fontId="3" fillId="11" borderId="14" xfId="0" applyFont="1" applyFill="1" applyBorder="1" applyAlignment="1">
      <alignment horizontal="center"/>
    </xf>
    <xf numFmtId="0" fontId="3" fillId="9" borderId="9" xfId="0" applyFont="1" applyFill="1" applyBorder="1" applyAlignment="1">
      <alignment horizontal="center"/>
    </xf>
    <xf numFmtId="0" fontId="0" fillId="2" borderId="19" xfId="0" applyFill="1" applyBorder="1" applyAlignment="1">
      <alignment horizontal="center"/>
    </xf>
    <xf numFmtId="0" fontId="3" fillId="2" borderId="29" xfId="0" applyFont="1" applyFill="1" applyBorder="1" applyAlignment="1">
      <alignment horizontal="center"/>
    </xf>
    <xf numFmtId="0" fontId="0" fillId="2" borderId="9" xfId="0" applyNumberFormat="1" applyFill="1" applyBorder="1" applyAlignment="1">
      <alignment horizontal="center"/>
    </xf>
    <xf numFmtId="0" fontId="0" fillId="2" borderId="17" xfId="0" applyNumberFormat="1" applyFill="1" applyBorder="1" applyAlignment="1">
      <alignment horizontal="center"/>
    </xf>
    <xf numFmtId="0" fontId="0" fillId="2" borderId="26" xfId="0" applyNumberFormat="1" applyFill="1" applyBorder="1" applyAlignment="1">
      <alignment horizontal="center"/>
    </xf>
    <xf numFmtId="0" fontId="0" fillId="2" borderId="27" xfId="0" applyNumberFormat="1" applyFill="1" applyBorder="1" applyAlignment="1">
      <alignment horizontal="center"/>
    </xf>
    <xf numFmtId="14" fontId="0" fillId="2" borderId="9" xfId="0" applyNumberFormat="1" applyFill="1" applyBorder="1" applyAlignment="1" applyProtection="1">
      <alignment horizontal="center"/>
      <protection locked="0"/>
    </xf>
    <xf numFmtId="14" fontId="0" fillId="2" borderId="17" xfId="0" applyNumberFormat="1" applyFill="1" applyBorder="1" applyAlignment="1" applyProtection="1">
      <alignment horizontal="center"/>
      <protection locked="0"/>
    </xf>
    <xf numFmtId="14" fontId="0" fillId="2" borderId="19" xfId="0" applyNumberFormat="1" applyFill="1" applyBorder="1" applyAlignment="1" applyProtection="1">
      <alignment horizontal="center"/>
      <protection locked="0"/>
    </xf>
    <xf numFmtId="14" fontId="0" fillId="2" borderId="20" xfId="0" applyNumberFormat="1" applyFill="1" applyBorder="1" applyAlignment="1" applyProtection="1">
      <alignment horizontal="center"/>
      <protection locked="0"/>
    </xf>
    <xf numFmtId="0" fontId="0" fillId="2" borderId="9" xfId="0" applyFill="1" applyBorder="1" applyAlignment="1" applyProtection="1">
      <alignment horizontal="center" wrapText="1"/>
      <protection locked="0"/>
    </xf>
    <xf numFmtId="0" fontId="0" fillId="2" borderId="9"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17" xfId="0" applyFill="1" applyBorder="1" applyAlignment="1" applyProtection="1">
      <alignment horizontal="center" wrapText="1"/>
      <protection locked="0"/>
    </xf>
    <xf numFmtId="14" fontId="0" fillId="2" borderId="9" xfId="0" applyNumberFormat="1" applyFill="1" applyBorder="1" applyAlignment="1" applyProtection="1">
      <alignment horizontal="center" wrapText="1"/>
      <protection locked="0"/>
    </xf>
    <xf numFmtId="14" fontId="0" fillId="2" borderId="17" xfId="0" applyNumberFormat="1" applyFill="1" applyBorder="1" applyAlignment="1" applyProtection="1">
      <alignment horizontal="center" wrapText="1"/>
      <protection locked="0"/>
    </xf>
    <xf numFmtId="14" fontId="0" fillId="2" borderId="19" xfId="0" applyNumberFormat="1" applyFill="1" applyBorder="1" applyAlignment="1" applyProtection="1">
      <alignment horizontal="center" wrapText="1"/>
      <protection locked="0"/>
    </xf>
    <xf numFmtId="14" fontId="0" fillId="2" borderId="20" xfId="0" applyNumberFormat="1" applyFill="1" applyBorder="1" applyAlignment="1" applyProtection="1">
      <alignment horizontal="center" wrapText="1"/>
      <protection locked="0"/>
    </xf>
    <xf numFmtId="0" fontId="0" fillId="2" borderId="19"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0" fillId="2" borderId="16" xfId="0" applyFill="1" applyBorder="1" applyAlignment="1" applyProtection="1">
      <alignment horizontal="center" wrapText="1"/>
      <protection locked="0"/>
    </xf>
    <xf numFmtId="0" fontId="0" fillId="2" borderId="17" xfId="0" applyFill="1" applyBorder="1" applyAlignment="1" applyProtection="1">
      <alignment wrapText="1"/>
      <protection locked="0"/>
    </xf>
    <xf numFmtId="0" fontId="0" fillId="2" borderId="20" xfId="0" applyFill="1" applyBorder="1" applyAlignment="1" applyProtection="1">
      <alignment wrapText="1"/>
      <protection locked="0"/>
    </xf>
    <xf numFmtId="0" fontId="0" fillId="11" borderId="9" xfId="0" applyFill="1" applyBorder="1" applyAlignment="1">
      <alignment horizontal="center"/>
    </xf>
    <xf numFmtId="0" fontId="0" fillId="11" borderId="19" xfId="0" applyFill="1" applyBorder="1" applyAlignment="1">
      <alignment horizontal="center"/>
    </xf>
    <xf numFmtId="2" fontId="0" fillId="11" borderId="16" xfId="0" applyNumberFormat="1" applyFill="1" applyBorder="1" applyAlignment="1">
      <alignment horizontal="center"/>
    </xf>
    <xf numFmtId="2" fontId="0" fillId="11" borderId="18" xfId="0" applyNumberFormat="1" applyFill="1" applyBorder="1" applyAlignment="1">
      <alignment horizontal="center"/>
    </xf>
    <xf numFmtId="0" fontId="0" fillId="11" borderId="16" xfId="0" applyFill="1" applyBorder="1" applyAlignment="1">
      <alignment horizontal="center"/>
    </xf>
    <xf numFmtId="0" fontId="0" fillId="11" borderId="18" xfId="0" applyFill="1" applyBorder="1" applyAlignment="1">
      <alignment horizontal="center"/>
    </xf>
    <xf numFmtId="0" fontId="0" fillId="2" borderId="34"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4" borderId="9" xfId="0" applyFill="1" applyBorder="1" applyAlignment="1" applyProtection="1">
      <alignment horizontal="center" wrapText="1"/>
      <protection locked="0"/>
    </xf>
    <xf numFmtId="0" fontId="0" fillId="4" borderId="34" xfId="0" applyFill="1" applyBorder="1" applyAlignment="1" applyProtection="1">
      <alignment horizontal="center" wrapText="1"/>
      <protection locked="0"/>
    </xf>
    <xf numFmtId="0" fontId="0" fillId="4" borderId="37" xfId="0" applyFill="1" applyBorder="1" applyAlignment="1" applyProtection="1">
      <alignment horizontal="center" wrapText="1"/>
      <protection locked="0"/>
    </xf>
    <xf numFmtId="2" fontId="0" fillId="9" borderId="16" xfId="0" applyNumberFormat="1" applyFill="1" applyBorder="1" applyAlignment="1">
      <alignment horizontal="center"/>
    </xf>
    <xf numFmtId="2" fontId="0" fillId="9" borderId="18" xfId="0" applyNumberFormat="1" applyFill="1" applyBorder="1" applyAlignment="1">
      <alignment horizontal="center"/>
    </xf>
    <xf numFmtId="0" fontId="0" fillId="2" borderId="18" xfId="0" applyFill="1" applyBorder="1" applyAlignment="1" applyProtection="1">
      <alignment horizontal="center" wrapText="1"/>
      <protection locked="0"/>
    </xf>
    <xf numFmtId="0" fontId="3" fillId="6" borderId="13" xfId="0" applyFont="1" applyFill="1" applyBorder="1" applyAlignment="1">
      <alignment horizontal="center" wrapText="1"/>
    </xf>
    <xf numFmtId="0" fontId="3" fillId="6" borderId="14" xfId="0" applyFont="1" applyFill="1" applyBorder="1" applyAlignment="1">
      <alignment horizontal="center" wrapText="1"/>
    </xf>
    <xf numFmtId="0" fontId="3" fillId="6" borderId="15" xfId="0" applyFont="1" applyFill="1" applyBorder="1" applyAlignment="1">
      <alignment horizontal="center" wrapText="1"/>
    </xf>
    <xf numFmtId="2" fontId="0" fillId="6" borderId="16" xfId="0" applyNumberFormat="1" applyFill="1" applyBorder="1" applyAlignment="1">
      <alignment horizontal="center" wrapText="1"/>
    </xf>
    <xf numFmtId="0" fontId="0" fillId="6" borderId="9" xfId="0" applyFill="1" applyBorder="1" applyAlignment="1">
      <alignment horizontal="center" wrapText="1"/>
    </xf>
    <xf numFmtId="2" fontId="0" fillId="6" borderId="18" xfId="0" applyNumberFormat="1" applyFill="1" applyBorder="1" applyAlignment="1">
      <alignment horizontal="center" wrapText="1"/>
    </xf>
    <xf numFmtId="0" fontId="0" fillId="6" borderId="19" xfId="0" applyFill="1" applyBorder="1" applyAlignment="1">
      <alignment horizontal="center" wrapText="1"/>
    </xf>
    <xf numFmtId="0" fontId="0" fillId="3" borderId="0" xfId="0" applyFill="1" applyAlignment="1">
      <alignment horizontal="center" wrapText="1"/>
    </xf>
    <xf numFmtId="0" fontId="0" fillId="6" borderId="16" xfId="0" applyFill="1" applyBorder="1" applyAlignment="1">
      <alignment horizontal="center" wrapText="1"/>
    </xf>
    <xf numFmtId="0" fontId="0" fillId="6" borderId="18" xfId="0" applyFill="1" applyBorder="1" applyAlignment="1">
      <alignment horizontal="center" wrapText="1"/>
    </xf>
    <xf numFmtId="0" fontId="0" fillId="2" borderId="19" xfId="0" applyNumberFormat="1" applyFill="1" applyBorder="1" applyAlignment="1">
      <alignment horizontal="center"/>
    </xf>
    <xf numFmtId="0" fontId="0" fillId="2" borderId="20" xfId="0" applyNumberFormat="1" applyFill="1" applyBorder="1" applyAlignment="1">
      <alignment horizontal="center"/>
    </xf>
    <xf numFmtId="0" fontId="3" fillId="9" borderId="9" xfId="0" applyFont="1" applyFill="1" applyBorder="1" applyAlignment="1">
      <alignment horizontal="center" vertical="center"/>
    </xf>
    <xf numFmtId="0" fontId="0" fillId="3" borderId="0" xfId="0" applyFill="1" applyAlignment="1">
      <alignment wrapText="1"/>
    </xf>
    <xf numFmtId="0" fontId="3" fillId="9" borderId="15" xfId="0" applyFont="1" applyFill="1" applyBorder="1" applyAlignment="1">
      <alignment horizontal="center" wrapText="1"/>
    </xf>
    <xf numFmtId="0" fontId="0" fillId="2" borderId="16" xfId="0" applyFill="1" applyBorder="1" applyAlignment="1" applyProtection="1">
      <alignment wrapText="1"/>
      <protection locked="0"/>
    </xf>
    <xf numFmtId="0" fontId="0" fillId="2" borderId="9" xfId="0" applyFill="1" applyBorder="1" applyAlignment="1" applyProtection="1">
      <alignment wrapText="1"/>
      <protection locked="0"/>
    </xf>
    <xf numFmtId="0" fontId="0" fillId="2" borderId="18" xfId="0" applyFill="1" applyBorder="1" applyAlignment="1" applyProtection="1">
      <alignment wrapText="1"/>
      <protection locked="0"/>
    </xf>
    <xf numFmtId="0" fontId="0" fillId="2" borderId="19" xfId="0" applyFill="1" applyBorder="1" applyAlignment="1" applyProtection="1">
      <alignment wrapText="1"/>
      <protection locked="0"/>
    </xf>
    <xf numFmtId="0" fontId="3" fillId="11" borderId="15" xfId="0" applyFont="1" applyFill="1" applyBorder="1" applyAlignment="1">
      <alignment horizontal="center" wrapText="1"/>
    </xf>
    <xf numFmtId="0" fontId="3" fillId="11" borderId="9" xfId="0" applyFont="1" applyFill="1" applyBorder="1" applyAlignment="1">
      <alignment horizontal="center" wrapText="1"/>
    </xf>
    <xf numFmtId="0" fontId="3" fillId="11" borderId="14" xfId="0" applyFont="1" applyFill="1" applyBorder="1" applyAlignment="1">
      <alignment horizontal="center" wrapText="1"/>
    </xf>
    <xf numFmtId="0" fontId="3" fillId="11" borderId="16" xfId="0" applyFont="1" applyFill="1" applyBorder="1" applyAlignment="1">
      <alignment horizontal="center" wrapText="1"/>
    </xf>
    <xf numFmtId="0" fontId="3" fillId="11" borderId="17" xfId="0" applyFont="1" applyFill="1" applyBorder="1" applyAlignment="1">
      <alignment horizontal="center" wrapText="1"/>
    </xf>
    <xf numFmtId="0" fontId="3" fillId="11" borderId="13" xfId="0" applyFont="1" applyFill="1" applyBorder="1" applyAlignment="1">
      <alignment horizontal="center" wrapText="1"/>
    </xf>
    <xf numFmtId="0" fontId="3" fillId="6" borderId="9" xfId="0" applyFont="1" applyFill="1" applyBorder="1" applyAlignment="1">
      <alignment horizontal="center" wrapText="1"/>
    </xf>
    <xf numFmtId="0" fontId="0" fillId="2" borderId="34" xfId="0" applyFill="1" applyBorder="1" applyAlignment="1" applyProtection="1">
      <alignment horizontal="center" wrapText="1"/>
      <protection locked="0"/>
    </xf>
    <xf numFmtId="0" fontId="0" fillId="2" borderId="37" xfId="0" applyFill="1" applyBorder="1" applyAlignment="1" applyProtection="1">
      <alignment horizontal="center" wrapText="1"/>
      <protection locked="0"/>
    </xf>
    <xf numFmtId="0" fontId="0" fillId="2" borderId="16" xfId="0" applyFill="1" applyBorder="1" applyAlignment="1" applyProtection="1">
      <alignment horizontal="center" wrapText="1"/>
    </xf>
    <xf numFmtId="0" fontId="0" fillId="2" borderId="9" xfId="0" applyFill="1" applyBorder="1" applyAlignment="1" applyProtection="1">
      <alignment horizontal="center" wrapText="1"/>
    </xf>
    <xf numFmtId="0" fontId="0" fillId="2" borderId="17" xfId="0" applyFill="1" applyBorder="1" applyAlignment="1" applyProtection="1">
      <alignment horizontal="center" wrapText="1"/>
    </xf>
    <xf numFmtId="0" fontId="0" fillId="2" borderId="18" xfId="0" applyFill="1" applyBorder="1" applyAlignment="1" applyProtection="1">
      <alignment horizontal="center" wrapText="1"/>
    </xf>
    <xf numFmtId="0" fontId="0" fillId="2" borderId="19" xfId="0" applyFill="1" applyBorder="1" applyAlignment="1" applyProtection="1">
      <alignment horizontal="center" wrapText="1"/>
    </xf>
    <xf numFmtId="0" fontId="0" fillId="2" borderId="20" xfId="0" applyFill="1" applyBorder="1" applyAlignment="1" applyProtection="1">
      <alignment horizontal="center" wrapText="1"/>
    </xf>
    <xf numFmtId="0" fontId="3" fillId="6" borderId="17" xfId="0" applyFont="1" applyFill="1" applyBorder="1" applyAlignment="1">
      <alignment horizontal="center" wrapText="1"/>
    </xf>
    <xf numFmtId="0" fontId="0" fillId="11" borderId="16" xfId="0" applyFill="1" applyBorder="1" applyAlignment="1">
      <alignment horizontal="center" wrapText="1"/>
    </xf>
    <xf numFmtId="0" fontId="0" fillId="11" borderId="9" xfId="0" applyFill="1" applyBorder="1" applyAlignment="1">
      <alignment horizontal="center" wrapText="1"/>
    </xf>
    <xf numFmtId="0" fontId="0" fillId="11" borderId="18" xfId="0" applyFill="1" applyBorder="1" applyAlignment="1">
      <alignment horizontal="center" wrapText="1"/>
    </xf>
    <xf numFmtId="0" fontId="0" fillId="11" borderId="19" xfId="0" applyFill="1" applyBorder="1" applyAlignment="1">
      <alignment horizontal="center" wrapText="1"/>
    </xf>
    <xf numFmtId="0" fontId="3" fillId="3" borderId="0" xfId="0" applyFont="1" applyFill="1" applyAlignment="1">
      <alignment horizontal="center" wrapText="1"/>
    </xf>
    <xf numFmtId="0" fontId="3" fillId="6" borderId="16" xfId="0" applyFont="1" applyFill="1" applyBorder="1" applyAlignment="1">
      <alignment horizontal="center" wrapText="1"/>
    </xf>
    <xf numFmtId="14" fontId="21" fillId="13" borderId="9" xfId="0" applyNumberFormat="1" applyFont="1" applyFill="1" applyBorder="1" applyAlignment="1" applyProtection="1">
      <alignment horizontal="center"/>
      <protection locked="0"/>
    </xf>
    <xf numFmtId="14" fontId="21" fillId="13" borderId="17" xfId="0" applyNumberFormat="1" applyFont="1" applyFill="1" applyBorder="1" applyAlignment="1" applyProtection="1">
      <alignment horizontal="center"/>
      <protection locked="0"/>
    </xf>
    <xf numFmtId="0" fontId="21" fillId="13" borderId="9" xfId="0" applyFont="1" applyFill="1" applyBorder="1" applyAlignment="1" applyProtection="1">
      <alignment horizontal="center" wrapText="1"/>
      <protection locked="0"/>
    </xf>
    <xf numFmtId="0" fontId="21" fillId="13" borderId="9" xfId="0" applyFont="1" applyFill="1" applyBorder="1" applyAlignment="1" applyProtection="1">
      <alignment horizontal="center"/>
      <protection locked="0"/>
    </xf>
    <xf numFmtId="0" fontId="21" fillId="13" borderId="17" xfId="0" applyFont="1" applyFill="1" applyBorder="1" applyAlignment="1" applyProtection="1">
      <alignment horizontal="center" wrapText="1"/>
      <protection locked="0"/>
    </xf>
    <xf numFmtId="0" fontId="21" fillId="14" borderId="9" xfId="0" applyFont="1" applyFill="1" applyBorder="1" applyAlignment="1" applyProtection="1">
      <alignment horizontal="center" wrapText="1"/>
      <protection locked="0"/>
    </xf>
    <xf numFmtId="14" fontId="21" fillId="13" borderId="9" xfId="0" applyNumberFormat="1" applyFont="1" applyFill="1" applyBorder="1" applyAlignment="1" applyProtection="1">
      <alignment horizontal="center" wrapText="1"/>
      <protection locked="0"/>
    </xf>
    <xf numFmtId="14" fontId="21" fillId="13" borderId="17" xfId="0" applyNumberFormat="1" applyFont="1" applyFill="1" applyBorder="1" applyAlignment="1" applyProtection="1">
      <alignment horizontal="center" wrapText="1"/>
      <protection locked="0"/>
    </xf>
    <xf numFmtId="0" fontId="21" fillId="13" borderId="9" xfId="0" applyFont="1" applyFill="1" applyBorder="1" applyAlignment="1" applyProtection="1">
      <alignment wrapText="1"/>
      <protection locked="0"/>
    </xf>
    <xf numFmtId="0" fontId="21" fillId="13" borderId="28" xfId="0" applyFont="1" applyFill="1" applyBorder="1" applyAlignment="1" applyProtection="1">
      <alignment wrapText="1"/>
      <protection locked="0"/>
    </xf>
    <xf numFmtId="0" fontId="21" fillId="13" borderId="45" xfId="0" applyFont="1" applyFill="1" applyBorder="1" applyAlignment="1" applyProtection="1">
      <alignment wrapText="1"/>
      <protection locked="0"/>
    </xf>
    <xf numFmtId="0" fontId="23" fillId="13" borderId="47" xfId="0" applyFont="1" applyFill="1" applyBorder="1" applyAlignment="1" applyProtection="1">
      <alignment horizontal="center" wrapText="1"/>
      <protection locked="0"/>
    </xf>
    <xf numFmtId="0" fontId="23" fillId="13" borderId="48" xfId="0" applyFont="1" applyFill="1" applyBorder="1" applyAlignment="1" applyProtection="1">
      <alignment horizontal="center" wrapText="1"/>
      <protection locked="0"/>
    </xf>
    <xf numFmtId="0" fontId="23" fillId="13" borderId="49" xfId="0" applyFont="1" applyFill="1" applyBorder="1" applyAlignment="1" applyProtection="1">
      <alignment horizontal="center" wrapText="1"/>
      <protection locked="0"/>
    </xf>
    <xf numFmtId="0" fontId="21" fillId="13" borderId="17" xfId="0" applyFont="1" applyFill="1" applyBorder="1" applyAlignment="1" applyProtection="1">
      <alignment wrapText="1"/>
      <protection locked="0"/>
    </xf>
    <xf numFmtId="0" fontId="3" fillId="9" borderId="16" xfId="0" applyFont="1" applyFill="1" applyBorder="1" applyAlignment="1">
      <alignment horizontal="center" wrapText="1"/>
    </xf>
    <xf numFmtId="0" fontId="3" fillId="9" borderId="9" xfId="0" applyFont="1" applyFill="1" applyBorder="1" applyAlignment="1">
      <alignment horizontal="center" wrapText="1"/>
    </xf>
    <xf numFmtId="0" fontId="3" fillId="9" borderId="17" xfId="0" applyFont="1" applyFill="1" applyBorder="1" applyAlignment="1">
      <alignment horizontal="center" wrapText="1"/>
    </xf>
    <xf numFmtId="0" fontId="21" fillId="13" borderId="16" xfId="0" applyFont="1" applyFill="1" applyBorder="1" applyAlignment="1" applyProtection="1">
      <alignment horizontal="center" wrapText="1"/>
      <protection locked="0"/>
    </xf>
    <xf numFmtId="0" fontId="3" fillId="9" borderId="13" xfId="0" applyFont="1" applyFill="1" applyBorder="1" applyAlignment="1">
      <alignment horizontal="center" wrapText="1"/>
    </xf>
    <xf numFmtId="0" fontId="3" fillId="9" borderId="14" xfId="0" applyFont="1" applyFill="1" applyBorder="1" applyAlignment="1">
      <alignment horizontal="center" wrapText="1"/>
    </xf>
    <xf numFmtId="0" fontId="21" fillId="13" borderId="16" xfId="0" applyFont="1" applyFill="1" applyBorder="1" applyAlignment="1" applyProtection="1">
      <alignment wrapText="1"/>
      <protection locked="0"/>
    </xf>
    <xf numFmtId="0" fontId="0" fillId="2" borderId="9"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21" fillId="13" borderId="16" xfId="0" applyFont="1" applyFill="1" applyBorder="1" applyAlignment="1" applyProtection="1">
      <alignment horizontal="center" vertical="center" wrapText="1"/>
      <protection locked="0"/>
    </xf>
    <xf numFmtId="0" fontId="21" fillId="13" borderId="9" xfId="0" applyFont="1" applyFill="1" applyBorder="1" applyAlignment="1" applyProtection="1">
      <alignment horizontal="center" vertical="center" wrapText="1"/>
      <protection locked="0"/>
    </xf>
    <xf numFmtId="0" fontId="21" fillId="13" borderId="17" xfId="0" applyFont="1" applyFill="1" applyBorder="1" applyAlignment="1" applyProtection="1">
      <alignment horizontal="center" vertical="center" wrapText="1"/>
      <protection locked="0"/>
    </xf>
    <xf numFmtId="0" fontId="0" fillId="15" borderId="16"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22" fillId="2" borderId="9" xfId="4" applyFont="1" applyFill="1" applyBorder="1" applyAlignment="1" applyProtection="1">
      <alignment horizontal="center" vertical="center" wrapText="1"/>
      <protection locked="0"/>
    </xf>
    <xf numFmtId="0" fontId="8" fillId="12" borderId="11" xfId="0" applyFont="1"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0" xfId="0" applyFont="1" applyFill="1" applyBorder="1" applyAlignment="1">
      <alignment horizontal="center"/>
    </xf>
    <xf numFmtId="0" fontId="6" fillId="3" borderId="25" xfId="0" applyFont="1" applyFill="1" applyBorder="1" applyAlignment="1">
      <alignment horizontal="center"/>
    </xf>
    <xf numFmtId="0" fontId="18" fillId="2" borderId="10" xfId="0" applyFont="1" applyFill="1" applyBorder="1" applyAlignment="1">
      <alignment horizontal="center"/>
    </xf>
    <xf numFmtId="0" fontId="18" fillId="2" borderId="11" xfId="0" applyFont="1" applyFill="1" applyBorder="1" applyAlignment="1">
      <alignment horizontal="center"/>
    </xf>
    <xf numFmtId="0" fontId="18" fillId="2" borderId="12" xfId="0" applyFont="1" applyFill="1" applyBorder="1" applyAlignment="1">
      <alignment horizontal="center"/>
    </xf>
    <xf numFmtId="43" fontId="18" fillId="2" borderId="10" xfId="1" applyFont="1" applyFill="1" applyBorder="1" applyAlignment="1">
      <alignment horizontal="center"/>
    </xf>
    <xf numFmtId="43" fontId="18" fillId="2" borderId="12" xfId="1" applyFont="1" applyFill="1" applyBorder="1" applyAlignment="1">
      <alignment horizontal="center"/>
    </xf>
    <xf numFmtId="0" fontId="6" fillId="3" borderId="6" xfId="0" applyFont="1" applyFill="1" applyBorder="1" applyAlignment="1">
      <alignment horizontal="center"/>
    </xf>
    <xf numFmtId="0" fontId="6" fillId="3" borderId="38" xfId="0" applyFont="1" applyFill="1" applyBorder="1" applyAlignment="1">
      <alignment horizontal="center"/>
    </xf>
    <xf numFmtId="0" fontId="6" fillId="8" borderId="30" xfId="0" applyFont="1" applyFill="1" applyBorder="1" applyAlignment="1">
      <alignment horizontal="center"/>
    </xf>
    <xf numFmtId="0" fontId="6" fillId="8" borderId="31" xfId="0" applyFont="1" applyFill="1" applyBorder="1" applyAlignment="1">
      <alignment horizontal="center"/>
    </xf>
    <xf numFmtId="0" fontId="6" fillId="8" borderId="32" xfId="0" applyFont="1" applyFill="1" applyBorder="1" applyAlignment="1">
      <alignment horizontal="center"/>
    </xf>
    <xf numFmtId="0" fontId="10" fillId="8" borderId="1" xfId="0" applyFont="1" applyFill="1" applyBorder="1" applyAlignment="1">
      <alignment horizontal="center"/>
    </xf>
    <xf numFmtId="0" fontId="10" fillId="8" borderId="2" xfId="0" applyFont="1" applyFill="1" applyBorder="1" applyAlignment="1">
      <alignment horizontal="center"/>
    </xf>
    <xf numFmtId="0" fontId="10" fillId="8" borderId="3" xfId="0" applyFont="1" applyFill="1" applyBorder="1" applyAlignment="1">
      <alignment horizontal="center"/>
    </xf>
    <xf numFmtId="0" fontId="9" fillId="8" borderId="10" xfId="0" applyFont="1" applyFill="1" applyBorder="1" applyAlignment="1">
      <alignment horizontal="center"/>
    </xf>
    <xf numFmtId="0" fontId="9" fillId="8" borderId="11" xfId="0" applyFont="1" applyFill="1" applyBorder="1" applyAlignment="1">
      <alignment horizontal="center"/>
    </xf>
    <xf numFmtId="0" fontId="9" fillId="8" borderId="12" xfId="0" applyFont="1" applyFill="1" applyBorder="1" applyAlignment="1">
      <alignment horizontal="center"/>
    </xf>
    <xf numFmtId="0" fontId="10" fillId="8" borderId="10" xfId="0" applyFont="1" applyFill="1" applyBorder="1" applyAlignment="1">
      <alignment horizontal="center"/>
    </xf>
    <xf numFmtId="0" fontId="10" fillId="8" borderId="11" xfId="0" applyFont="1" applyFill="1" applyBorder="1" applyAlignment="1">
      <alignment horizontal="center"/>
    </xf>
    <xf numFmtId="0" fontId="10" fillId="8" borderId="12" xfId="0" applyFont="1" applyFill="1" applyBorder="1" applyAlignment="1">
      <alignment horizontal="center"/>
    </xf>
    <xf numFmtId="0" fontId="17" fillId="8" borderId="13" xfId="0" applyFont="1" applyFill="1" applyBorder="1" applyAlignment="1">
      <alignment horizontal="center" wrapText="1"/>
    </xf>
    <xf numFmtId="0" fontId="17" fillId="8" borderId="14" xfId="0" applyFont="1" applyFill="1" applyBorder="1" applyAlignment="1">
      <alignment horizontal="center" wrapText="1"/>
    </xf>
    <xf numFmtId="0" fontId="17" fillId="8" borderId="15" xfId="0" applyFont="1" applyFill="1" applyBorder="1" applyAlignment="1">
      <alignment horizontal="center" wrapText="1"/>
    </xf>
    <xf numFmtId="0" fontId="17" fillId="8" borderId="30" xfId="0" applyFont="1" applyFill="1" applyBorder="1" applyAlignment="1">
      <alignment horizontal="center" wrapText="1"/>
    </xf>
    <xf numFmtId="0" fontId="17" fillId="8" borderId="31" xfId="0" applyFont="1" applyFill="1" applyBorder="1" applyAlignment="1">
      <alignment horizontal="center" wrapText="1"/>
    </xf>
    <xf numFmtId="0" fontId="17" fillId="8" borderId="32" xfId="0" applyFont="1" applyFill="1" applyBorder="1" applyAlignment="1">
      <alignment horizontal="center" wrapText="1"/>
    </xf>
    <xf numFmtId="0" fontId="21" fillId="13" borderId="26" xfId="0" applyFont="1" applyFill="1" applyBorder="1" applyAlignment="1" applyProtection="1">
      <alignment wrapText="1"/>
      <protection locked="0"/>
    </xf>
    <xf numFmtId="0" fontId="21" fillId="13" borderId="46" xfId="0" applyFont="1" applyFill="1" applyBorder="1" applyAlignment="1" applyProtection="1">
      <alignment wrapText="1"/>
      <protection locked="0"/>
    </xf>
    <xf numFmtId="0" fontId="21" fillId="13" borderId="22" xfId="0" applyFont="1" applyFill="1" applyBorder="1" applyAlignment="1" applyProtection="1">
      <alignment wrapText="1"/>
      <protection locked="0"/>
    </xf>
    <xf numFmtId="0" fontId="22" fillId="13" borderId="27" xfId="0" applyFont="1" applyFill="1" applyBorder="1" applyAlignment="1" applyProtection="1">
      <alignment wrapText="1"/>
      <protection locked="0"/>
    </xf>
    <xf numFmtId="0" fontId="22" fillId="13" borderId="33" xfId="0" applyFont="1" applyFill="1" applyBorder="1" applyAlignment="1" applyProtection="1">
      <alignment wrapText="1"/>
      <protection locked="0"/>
    </xf>
    <xf numFmtId="0" fontId="22" fillId="13" borderId="45" xfId="0" applyFont="1" applyFill="1" applyBorder="1" applyAlignment="1" applyProtection="1">
      <alignment wrapText="1"/>
      <protection locked="0"/>
    </xf>
    <xf numFmtId="0" fontId="10" fillId="10" borderId="1" xfId="0" applyFont="1" applyFill="1" applyBorder="1" applyAlignment="1">
      <alignment horizontal="center"/>
    </xf>
    <xf numFmtId="0" fontId="10" fillId="10" borderId="2" xfId="0" applyFont="1" applyFill="1" applyBorder="1" applyAlignment="1">
      <alignment horizontal="center"/>
    </xf>
    <xf numFmtId="0" fontId="10" fillId="10" borderId="3" xfId="0" applyFont="1" applyFill="1" applyBorder="1" applyAlignment="1">
      <alignment horizontal="center"/>
    </xf>
    <xf numFmtId="0" fontId="10" fillId="10" borderId="10" xfId="0" applyFont="1" applyFill="1" applyBorder="1" applyAlignment="1">
      <alignment horizontal="center"/>
    </xf>
    <xf numFmtId="0" fontId="10" fillId="10" borderId="11" xfId="0" applyFont="1" applyFill="1" applyBorder="1" applyAlignment="1">
      <alignment horizontal="center"/>
    </xf>
    <xf numFmtId="0" fontId="10" fillId="10" borderId="12" xfId="0" applyFont="1" applyFill="1" applyBorder="1" applyAlignment="1">
      <alignment horizontal="center"/>
    </xf>
    <xf numFmtId="0" fontId="9" fillId="10" borderId="10" xfId="0" applyFont="1" applyFill="1" applyBorder="1" applyAlignment="1">
      <alignment horizontal="center" vertical="center"/>
    </xf>
    <xf numFmtId="0" fontId="9" fillId="10" borderId="11" xfId="0" applyFont="1" applyFill="1" applyBorder="1" applyAlignment="1">
      <alignment horizontal="center" vertical="center"/>
    </xf>
    <xf numFmtId="0" fontId="9" fillId="10" borderId="12" xfId="0" applyFont="1" applyFill="1" applyBorder="1" applyAlignment="1">
      <alignment horizontal="center" vertical="center"/>
    </xf>
    <xf numFmtId="0" fontId="6" fillId="10" borderId="30" xfId="0" applyFont="1" applyFill="1" applyBorder="1" applyAlignment="1">
      <alignment horizontal="center"/>
    </xf>
    <xf numFmtId="0" fontId="6" fillId="10" borderId="31" xfId="0" applyFont="1" applyFill="1" applyBorder="1" applyAlignment="1">
      <alignment horizontal="center"/>
    </xf>
    <xf numFmtId="0" fontId="6" fillId="10" borderId="32" xfId="0" applyFont="1" applyFill="1" applyBorder="1" applyAlignment="1">
      <alignment horizontal="center"/>
    </xf>
    <xf numFmtId="0" fontId="10" fillId="10" borderId="1" xfId="0" applyFont="1" applyFill="1" applyBorder="1" applyAlignment="1">
      <alignment horizontal="center" wrapText="1"/>
    </xf>
    <xf numFmtId="0" fontId="10" fillId="10" borderId="2" xfId="0" applyFont="1" applyFill="1" applyBorder="1" applyAlignment="1">
      <alignment horizontal="center" wrapText="1"/>
    </xf>
    <xf numFmtId="0" fontId="10" fillId="10" borderId="3" xfId="0" applyFont="1" applyFill="1" applyBorder="1" applyAlignment="1">
      <alignment horizontal="center" wrapText="1"/>
    </xf>
    <xf numFmtId="0" fontId="6" fillId="10" borderId="30" xfId="0" applyFont="1" applyFill="1" applyBorder="1" applyAlignment="1">
      <alignment horizontal="center" wrapText="1"/>
    </xf>
    <xf numFmtId="0" fontId="6" fillId="10" borderId="31" xfId="0" applyFont="1" applyFill="1" applyBorder="1" applyAlignment="1">
      <alignment horizontal="center" wrapText="1"/>
    </xf>
    <xf numFmtId="0" fontId="6" fillId="10" borderId="32" xfId="0" applyFont="1" applyFill="1" applyBorder="1" applyAlignment="1">
      <alignment horizontal="center" wrapText="1"/>
    </xf>
    <xf numFmtId="0" fontId="9" fillId="10" borderId="10"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17" fillId="10" borderId="30" xfId="0" applyFont="1" applyFill="1" applyBorder="1" applyAlignment="1">
      <alignment horizontal="center" wrapText="1"/>
    </xf>
    <xf numFmtId="0" fontId="17" fillId="10" borderId="31" xfId="0" applyFont="1" applyFill="1" applyBorder="1" applyAlignment="1">
      <alignment horizontal="center" wrapText="1"/>
    </xf>
    <xf numFmtId="0" fontId="17" fillId="10" borderId="32" xfId="0" applyFont="1" applyFill="1" applyBorder="1" applyAlignment="1">
      <alignment horizontal="center" wrapText="1"/>
    </xf>
    <xf numFmtId="0" fontId="6" fillId="5" borderId="30" xfId="0" applyFont="1" applyFill="1" applyBorder="1" applyAlignment="1">
      <alignment horizontal="center" wrapText="1"/>
    </xf>
    <xf numFmtId="0" fontId="6" fillId="5" borderId="31" xfId="0" applyFont="1" applyFill="1" applyBorder="1" applyAlignment="1">
      <alignment horizontal="center" wrapText="1"/>
    </xf>
    <xf numFmtId="0" fontId="6" fillId="5" borderId="32" xfId="0" applyFont="1" applyFill="1" applyBorder="1" applyAlignment="1">
      <alignment horizontal="center" wrapText="1"/>
    </xf>
    <xf numFmtId="0" fontId="10" fillId="5" borderId="1" xfId="0" applyFont="1" applyFill="1" applyBorder="1" applyAlignment="1">
      <alignment horizontal="center" wrapText="1"/>
    </xf>
    <xf numFmtId="0" fontId="10" fillId="5" borderId="2" xfId="0" applyFont="1" applyFill="1" applyBorder="1" applyAlignment="1">
      <alignment horizontal="center" wrapText="1"/>
    </xf>
    <xf numFmtId="0" fontId="10" fillId="5" borderId="3" xfId="0" applyFont="1" applyFill="1" applyBorder="1" applyAlignment="1">
      <alignment horizontal="center"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7" fillId="5" borderId="30" xfId="0" applyFont="1" applyFill="1" applyBorder="1" applyAlignment="1">
      <alignment horizontal="center" wrapText="1"/>
    </xf>
    <xf numFmtId="0" fontId="17" fillId="5" borderId="31" xfId="0" applyFont="1" applyFill="1" applyBorder="1" applyAlignment="1">
      <alignment horizontal="center" wrapText="1"/>
    </xf>
    <xf numFmtId="0" fontId="17" fillId="5" borderId="32" xfId="0" applyFont="1" applyFill="1" applyBorder="1" applyAlignment="1">
      <alignment horizontal="center" wrapText="1"/>
    </xf>
    <xf numFmtId="0" fontId="3" fillId="6" borderId="2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0" fillId="2" borderId="39" xfId="0" applyFill="1" applyBorder="1" applyAlignment="1" applyProtection="1">
      <alignment horizontal="center" wrapText="1"/>
      <protection locked="0"/>
    </xf>
    <xf numFmtId="0" fontId="0" fillId="2" borderId="40" xfId="0" applyFill="1" applyBorder="1" applyAlignment="1" applyProtection="1">
      <alignment horizontal="center" wrapText="1"/>
      <protection locked="0"/>
    </xf>
    <xf numFmtId="0" fontId="0" fillId="2" borderId="41" xfId="0" applyFill="1" applyBorder="1" applyAlignment="1" applyProtection="1">
      <alignment horizontal="center" wrapText="1"/>
      <protection locked="0"/>
    </xf>
    <xf numFmtId="0" fontId="0" fillId="2" borderId="42" xfId="0" applyFill="1" applyBorder="1" applyAlignment="1" applyProtection="1">
      <alignment horizontal="center" wrapText="1"/>
      <protection locked="0"/>
    </xf>
    <xf numFmtId="0" fontId="0" fillId="2" borderId="43" xfId="0" applyFill="1" applyBorder="1" applyAlignment="1" applyProtection="1">
      <alignment horizontal="center" wrapText="1"/>
      <protection locked="0"/>
    </xf>
    <xf numFmtId="0" fontId="0" fillId="2" borderId="44" xfId="0" applyFill="1" applyBorder="1" applyAlignment="1" applyProtection="1">
      <alignment horizontal="center" wrapText="1"/>
      <protection locked="0"/>
    </xf>
    <xf numFmtId="0" fontId="0" fillId="6" borderId="34" xfId="0" applyFill="1" applyBorder="1" applyAlignment="1">
      <alignment horizontal="center" wrapText="1"/>
    </xf>
    <xf numFmtId="0" fontId="0" fillId="6" borderId="35" xfId="0" applyFill="1" applyBorder="1" applyAlignment="1">
      <alignment horizontal="center" wrapText="1"/>
    </xf>
    <xf numFmtId="0" fontId="0" fillId="6" borderId="36" xfId="0" applyFill="1" applyBorder="1" applyAlignment="1">
      <alignment horizontal="center" wrapText="1"/>
    </xf>
    <xf numFmtId="0" fontId="12" fillId="0" borderId="9" xfId="2" applyFont="1" applyBorder="1" applyAlignment="1">
      <alignment horizontal="center" vertical="center" wrapText="1"/>
    </xf>
    <xf numFmtId="0" fontId="11" fillId="0" borderId="9" xfId="2" applyFont="1" applyBorder="1" applyAlignment="1">
      <alignment horizontal="left" vertical="center" wrapText="1"/>
    </xf>
    <xf numFmtId="0" fontId="12" fillId="0" borderId="9" xfId="2" applyFont="1" applyBorder="1" applyAlignment="1">
      <alignment horizontal="left" vertical="center" wrapText="1"/>
    </xf>
    <xf numFmtId="0" fontId="12" fillId="0" borderId="9" xfId="2" applyFont="1" applyBorder="1" applyAlignment="1">
      <alignment vertical="center" wrapText="1"/>
    </xf>
    <xf numFmtId="0" fontId="11" fillId="0" borderId="9" xfId="2" applyFont="1" applyBorder="1" applyAlignment="1">
      <alignment horizontal="left" vertical="center"/>
    </xf>
  </cellXfs>
  <cellStyles count="5">
    <cellStyle name="Dziesiętny" xfId="1" builtinId="3"/>
    <cellStyle name="Hiperłącze" xfId="4" builtinId="8"/>
    <cellStyle name="Hiperłącze 2" xfId="3" xr:uid="{AD75A0F0-B21E-4A9B-BD92-C40D4BB4680D}"/>
    <cellStyle name="Normalny" xfId="0" builtinId="0"/>
    <cellStyle name="Normalny 2" xfId="2" xr:uid="{AB1EE626-58B8-4CF3-B446-965745F495FB}"/>
  </cellStyles>
  <dxfs count="57">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
      <font>
        <color theme="0" tint="-0.34998626667073579"/>
      </font>
      <fill>
        <patternFill>
          <bgColor theme="6"/>
        </patternFill>
      </fill>
      <border>
        <left/>
        <right/>
        <top/>
        <bottom/>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emastudio.pl/cennik-filmow/" TargetMode="External"/><Relationship Id="rId7" Type="http://schemas.openxmlformats.org/officeDocument/2006/relationships/printerSettings" Target="../printerSettings/printerSettings11.bin"/><Relationship Id="rId2" Type="http://schemas.openxmlformats.org/officeDocument/2006/relationships/hyperlink" Target="https://innowacje.spoldzielnie.org/wp-content/uploads/2020/04/Wykaz-%C5%9Brednich-rekomendowanych-stawek.pdflub%20stawka%20z%20projektu%20POWR.03.05.00-00-Z303/17%20w%20ramach%20naboru%20POWR.03.05.00-IP.08-00-PZ3/17" TargetMode="External"/><Relationship Id="rId1" Type="http://schemas.openxmlformats.org/officeDocument/2006/relationships/hyperlink" Target="https://efs.men.gov.pl/wp-content/uploads/2019/12/Zalacznik_nr_10_zestawienie_cen_i_standardow_szkola_cwiczen_wersja_3.pdf" TargetMode="External"/><Relationship Id="rId6" Type="http://schemas.openxmlformats.org/officeDocument/2006/relationships/hyperlink" Target="https://zarobki.pracuj.pl/stanowiska/it-rozwoj-oprogramowania/tester-oprogramowania-ekspert" TargetMode="External"/><Relationship Id="rId5" Type="http://schemas.openxmlformats.org/officeDocument/2006/relationships/hyperlink" Target="https://www.funduszeeuropejskie.gov.pl/media/98256/Zal_3_.pdf%20(taryfikator%204.1%20POWER%202021)" TargetMode="External"/><Relationship Id="rId4" Type="http://schemas.openxmlformats.org/officeDocument/2006/relationships/hyperlink" Target="https://www.funduszeeuropejskie.gov.pl/media/98256/Zal_3_.pdf%20(taryfikator%204.1%20POWER%20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B1:J69"/>
  <sheetViews>
    <sheetView tabSelected="1" topLeftCell="A61" workbookViewId="0">
      <selection activeCell="D22" sqref="D22"/>
    </sheetView>
  </sheetViews>
  <sheetFormatPr defaultColWidth="9.109375" defaultRowHeight="14.4" x14ac:dyDescent="0.3"/>
  <cols>
    <col min="1" max="2" width="9.109375" style="2"/>
    <col min="3" max="3" width="14.33203125" style="2" bestFit="1" customWidth="1"/>
    <col min="4" max="4" width="47.109375" style="2" customWidth="1"/>
    <col min="5" max="5" width="12.109375" style="2" customWidth="1"/>
    <col min="6" max="6" width="9.109375" style="2"/>
    <col min="7" max="7" width="11.33203125" style="2" bestFit="1" customWidth="1"/>
    <col min="8" max="8" width="65.5546875" style="2" customWidth="1"/>
    <col min="9" max="9" width="10.5546875" style="2" customWidth="1"/>
    <col min="10" max="16384" width="9.109375" style="2"/>
  </cols>
  <sheetData>
    <row r="1" spans="2:10" ht="15" thickBot="1" x14ac:dyDescent="0.35"/>
    <row r="2" spans="2:10" ht="21.6" thickBot="1" x14ac:dyDescent="0.45">
      <c r="B2" s="62"/>
      <c r="C2" s="181" t="s">
        <v>19</v>
      </c>
      <c r="D2" s="181"/>
      <c r="E2" s="181"/>
      <c r="F2" s="181"/>
      <c r="G2" s="181"/>
      <c r="H2" s="181"/>
      <c r="I2" s="181"/>
      <c r="J2" s="63"/>
    </row>
    <row r="3" spans="2:10" ht="12" customHeight="1" thickBot="1" x14ac:dyDescent="0.45">
      <c r="B3" s="44"/>
      <c r="C3" s="45"/>
      <c r="D3" s="45"/>
      <c r="E3" s="45"/>
      <c r="F3" s="45"/>
      <c r="G3" s="45"/>
      <c r="H3" s="45"/>
      <c r="I3" s="45"/>
      <c r="J3" s="46"/>
    </row>
    <row r="4" spans="2:10" x14ac:dyDescent="0.3">
      <c r="B4" s="44"/>
      <c r="C4" s="188" t="s">
        <v>25</v>
      </c>
      <c r="D4" s="56" t="s">
        <v>156</v>
      </c>
      <c r="E4" s="68" t="str">
        <f>IF('Etap 1 - prototyp'!E5="","",(MIN('Etap 1 - prototyp'!E5:E14)))</f>
        <v/>
      </c>
      <c r="F4" s="47"/>
      <c r="G4" s="48"/>
      <c r="H4" s="48"/>
      <c r="I4" s="48"/>
      <c r="J4" s="46"/>
    </row>
    <row r="5" spans="2:10" ht="15" thickBot="1" x14ac:dyDescent="0.35">
      <c r="B5" s="44"/>
      <c r="C5" s="189"/>
      <c r="D5" s="57" t="s">
        <v>157</v>
      </c>
      <c r="E5" s="69" t="str">
        <f>IF('Etap 1 - testowanie'!F5="","",MAX('Etap 1 - testowanie'!F5:F14))</f>
        <v/>
      </c>
      <c r="F5" s="47"/>
      <c r="G5" s="48"/>
      <c r="H5" s="48"/>
      <c r="I5" s="48"/>
      <c r="J5" s="46"/>
    </row>
    <row r="6" spans="2:10" ht="15" thickBot="1" x14ac:dyDescent="0.35">
      <c r="B6" s="44"/>
      <c r="C6" s="47"/>
      <c r="D6" s="47"/>
      <c r="E6" s="47"/>
      <c r="F6" s="47"/>
      <c r="G6" s="48"/>
      <c r="H6" s="48"/>
      <c r="I6" s="48"/>
      <c r="J6" s="46"/>
    </row>
    <row r="7" spans="2:10" x14ac:dyDescent="0.3">
      <c r="B7" s="44"/>
      <c r="C7" s="182" t="s">
        <v>179</v>
      </c>
      <c r="D7" s="183"/>
      <c r="E7" s="184"/>
      <c r="F7" s="47"/>
      <c r="G7" s="185" t="s">
        <v>182</v>
      </c>
      <c r="H7" s="186"/>
      <c r="I7" s="187"/>
      <c r="J7" s="46"/>
    </row>
    <row r="8" spans="2:10" x14ac:dyDescent="0.3">
      <c r="B8" s="44"/>
      <c r="C8" s="59" t="s">
        <v>21</v>
      </c>
      <c r="D8" s="60" t="s">
        <v>1</v>
      </c>
      <c r="E8" s="61" t="s">
        <v>20</v>
      </c>
      <c r="F8" s="48"/>
      <c r="G8" s="59" t="s">
        <v>21</v>
      </c>
      <c r="H8" s="60" t="s">
        <v>1</v>
      </c>
      <c r="I8" s="61" t="s">
        <v>20</v>
      </c>
      <c r="J8" s="46"/>
    </row>
    <row r="9" spans="2:10" x14ac:dyDescent="0.3">
      <c r="B9" s="44"/>
      <c r="C9" s="49" t="str">
        <f>'Etap 1 - prototyp'!B5</f>
        <v/>
      </c>
      <c r="D9" s="35" t="str">
        <f>IF('Etap 1 - prototyp'!C5&lt;&gt;"",'Etap 1 - prototyp'!C5,"")</f>
        <v/>
      </c>
      <c r="E9" s="40" t="str">
        <f>IF('Etap 1 - prototyp'!D5&lt;&gt;"",'Etap 1 - prototyp'!D5,"")</f>
        <v/>
      </c>
      <c r="F9" s="50"/>
      <c r="G9" s="49" t="str">
        <f>'Etap 1 - testowanie'!B5</f>
        <v/>
      </c>
      <c r="H9" s="75" t="str">
        <f>IF('Etap 1 - testowanie'!C5&lt;&gt;"",'Etap 1 - testowanie'!C5,"")</f>
        <v/>
      </c>
      <c r="I9" s="75" t="str">
        <f>IF('Etap 1 - testowanie'!D5&lt;&gt;"",'Etap 1 - testowanie'!D5,"")</f>
        <v/>
      </c>
      <c r="J9" s="46"/>
    </row>
    <row r="10" spans="2:10" x14ac:dyDescent="0.3">
      <c r="B10" s="44"/>
      <c r="C10" s="49" t="str">
        <f>'Etap 1 - prototyp'!B6</f>
        <v/>
      </c>
      <c r="D10" s="35" t="str">
        <f>IF('Etap 1 - prototyp'!C6&lt;&gt;"",'Etap 1 - prototyp'!C6,"")</f>
        <v/>
      </c>
      <c r="E10" s="40" t="str">
        <f>IF('Etap 1 - prototyp'!D6&lt;&gt;"",'Etap 1 - prototyp'!D6,"")</f>
        <v/>
      </c>
      <c r="F10" s="50"/>
      <c r="G10" s="49" t="str">
        <f>'Etap 1 - testowanie'!B6</f>
        <v/>
      </c>
      <c r="H10" s="75" t="str">
        <f>IF('Etap 1 - testowanie'!C6&lt;&gt;"",'Etap 1 - testowanie'!C6,"")</f>
        <v/>
      </c>
      <c r="I10" s="75" t="str">
        <f>IF('Etap 1 - testowanie'!D6&lt;&gt;"",'Etap 1 - testowanie'!D6,"")</f>
        <v/>
      </c>
      <c r="J10" s="46"/>
    </row>
    <row r="11" spans="2:10" x14ac:dyDescent="0.3">
      <c r="B11" s="44"/>
      <c r="C11" s="49" t="str">
        <f>'Etap 1 - prototyp'!B7</f>
        <v/>
      </c>
      <c r="D11" s="35" t="str">
        <f>IF('Etap 1 - prototyp'!C7&lt;&gt;"",'Etap 1 - prototyp'!C7,"")</f>
        <v/>
      </c>
      <c r="E11" s="40" t="str">
        <f>IF('Etap 1 - prototyp'!D7&lt;&gt;"",'Etap 1 - prototyp'!D7,"")</f>
        <v/>
      </c>
      <c r="F11" s="50"/>
      <c r="G11" s="49" t="str">
        <f>'Etap 1 - testowanie'!B7</f>
        <v/>
      </c>
      <c r="H11" s="75" t="str">
        <f>IF('Etap 1 - testowanie'!C7&lt;&gt;"",'Etap 1 - testowanie'!C7,"")</f>
        <v/>
      </c>
      <c r="I11" s="75" t="str">
        <f>IF('Etap 1 - testowanie'!D7&lt;&gt;"",'Etap 1 - testowanie'!D7,"")</f>
        <v/>
      </c>
      <c r="J11" s="46"/>
    </row>
    <row r="12" spans="2:10" x14ac:dyDescent="0.3">
      <c r="B12" s="44"/>
      <c r="C12" s="49" t="str">
        <f>'Etap 1 - prototyp'!B8</f>
        <v/>
      </c>
      <c r="D12" s="35" t="str">
        <f>IF('Etap 1 - prototyp'!C8&lt;&gt;"",'Etap 1 - prototyp'!C8,"")</f>
        <v/>
      </c>
      <c r="E12" s="40" t="str">
        <f>IF('Etap 1 - prototyp'!D8&lt;&gt;"",'Etap 1 - prototyp'!D8,"")</f>
        <v/>
      </c>
      <c r="F12" s="50"/>
      <c r="G12" s="49" t="str">
        <f>'Etap 1 - testowanie'!B8</f>
        <v/>
      </c>
      <c r="H12" s="75" t="str">
        <f>IF('Etap 1 - testowanie'!C8&lt;&gt;"",'Etap 1 - testowanie'!C8,"")</f>
        <v/>
      </c>
      <c r="I12" s="75" t="str">
        <f>IF('Etap 1 - testowanie'!D8&lt;&gt;"",'Etap 1 - testowanie'!D8,"")</f>
        <v/>
      </c>
      <c r="J12" s="46"/>
    </row>
    <row r="13" spans="2:10" x14ac:dyDescent="0.3">
      <c r="B13" s="44"/>
      <c r="C13" s="49" t="str">
        <f>'Etap 1 - prototyp'!B9</f>
        <v/>
      </c>
      <c r="D13" s="35" t="str">
        <f>IF('Etap 1 - prototyp'!C9&lt;&gt;"",'Etap 1 - prototyp'!C9,"")</f>
        <v/>
      </c>
      <c r="E13" s="40" t="str">
        <f>IF('Etap 1 - prototyp'!D9&lt;&gt;"",'Etap 1 - prototyp'!D9,"")</f>
        <v/>
      </c>
      <c r="F13" s="50"/>
      <c r="G13" s="49" t="str">
        <f>'Etap 1 - testowanie'!B9</f>
        <v/>
      </c>
      <c r="H13" s="75" t="str">
        <f>IF('Etap 1 - testowanie'!C9&lt;&gt;"",'Etap 1 - testowanie'!C9,"")</f>
        <v/>
      </c>
      <c r="I13" s="75" t="str">
        <f>IF('Etap 1 - testowanie'!D9&lt;&gt;"",'Etap 1 - testowanie'!D9,"")</f>
        <v/>
      </c>
      <c r="J13" s="46"/>
    </row>
    <row r="14" spans="2:10" x14ac:dyDescent="0.3">
      <c r="B14" s="44"/>
      <c r="C14" s="49" t="str">
        <f>'Etap 1 - prototyp'!B10</f>
        <v/>
      </c>
      <c r="D14" s="35" t="str">
        <f>IF('Etap 1 - prototyp'!C10&lt;&gt;"",'Etap 1 - prototyp'!C10,"")</f>
        <v/>
      </c>
      <c r="E14" s="40" t="str">
        <f>IF('Etap 1 - prototyp'!D10&lt;&gt;"",'Etap 1 - prototyp'!D10,"")</f>
        <v/>
      </c>
      <c r="F14" s="50"/>
      <c r="G14" s="49" t="str">
        <f>'Etap 1 - testowanie'!B10</f>
        <v/>
      </c>
      <c r="H14" s="75" t="str">
        <f>IF('Etap 1 - testowanie'!C10&lt;&gt;"",'Etap 1 - testowanie'!C10,"")</f>
        <v/>
      </c>
      <c r="I14" s="75" t="str">
        <f>IF('Etap 1 - testowanie'!D10&lt;&gt;"",'Etap 1 - testowanie'!D10,"")</f>
        <v/>
      </c>
      <c r="J14" s="46"/>
    </row>
    <row r="15" spans="2:10" x14ac:dyDescent="0.3">
      <c r="B15" s="44"/>
      <c r="C15" s="49" t="str">
        <f>'Etap 1 - prototyp'!B11</f>
        <v/>
      </c>
      <c r="D15" s="35" t="str">
        <f>IF('Etap 1 - prototyp'!C11&lt;&gt;"",'Etap 1 - prototyp'!C11,"")</f>
        <v/>
      </c>
      <c r="E15" s="40" t="str">
        <f>IF('Etap 1 - prototyp'!D11&lt;&gt;"",'Etap 1 - prototyp'!D11,"")</f>
        <v/>
      </c>
      <c r="F15" s="50"/>
      <c r="G15" s="49" t="str">
        <f>'Etap 1 - testowanie'!B11</f>
        <v/>
      </c>
      <c r="H15" s="75" t="str">
        <f>IF('Etap 1 - testowanie'!C11&lt;&gt;"",'Etap 1 - testowanie'!C11,"")</f>
        <v/>
      </c>
      <c r="I15" s="75" t="str">
        <f>IF('Etap 1 - testowanie'!D11&lt;&gt;"",'Etap 1 - testowanie'!D11,"")</f>
        <v/>
      </c>
      <c r="J15" s="46"/>
    </row>
    <row r="16" spans="2:10" x14ac:dyDescent="0.3">
      <c r="B16" s="44"/>
      <c r="C16" s="49" t="str">
        <f>'Etap 1 - prototyp'!B12</f>
        <v/>
      </c>
      <c r="D16" s="35" t="str">
        <f>IF('Etap 1 - prototyp'!C12&lt;&gt;"",'Etap 1 - prototyp'!C12,"")</f>
        <v/>
      </c>
      <c r="E16" s="40" t="str">
        <f>IF('Etap 1 - prototyp'!D12&lt;&gt;"",'Etap 1 - prototyp'!D12,"")</f>
        <v/>
      </c>
      <c r="F16" s="50"/>
      <c r="G16" s="49" t="str">
        <f>'Etap 1 - testowanie'!B12</f>
        <v/>
      </c>
      <c r="H16" s="75" t="str">
        <f>IF('Etap 1 - testowanie'!C12&lt;&gt;"",'Etap 1 - testowanie'!C12,"")</f>
        <v/>
      </c>
      <c r="I16" s="75" t="str">
        <f>IF('Etap 1 - testowanie'!D12&lt;&gt;"",'Etap 1 - testowanie'!D12,"")</f>
        <v/>
      </c>
      <c r="J16" s="46"/>
    </row>
    <row r="17" spans="2:10" x14ac:dyDescent="0.3">
      <c r="B17" s="44"/>
      <c r="C17" s="49" t="str">
        <f>'Etap 1 - prototyp'!B13</f>
        <v/>
      </c>
      <c r="D17" s="35" t="str">
        <f>IF('Etap 1 - prototyp'!C13&lt;&gt;"",'Etap 1 - prototyp'!C13,"")</f>
        <v/>
      </c>
      <c r="E17" s="40" t="str">
        <f>IF('Etap 1 - prototyp'!D13&lt;&gt;"",'Etap 1 - prototyp'!D13,"")</f>
        <v/>
      </c>
      <c r="F17" s="50"/>
      <c r="G17" s="49" t="str">
        <f>'Etap 1 - testowanie'!B13</f>
        <v/>
      </c>
      <c r="H17" s="75" t="str">
        <f>IF('Etap 1 - testowanie'!C13&lt;&gt;"",'Etap 1 - testowanie'!C13,"")</f>
        <v/>
      </c>
      <c r="I17" s="75" t="str">
        <f>IF('Etap 1 - testowanie'!D13&lt;&gt;"",'Etap 1 - testowanie'!D13,"")</f>
        <v/>
      </c>
      <c r="J17" s="46"/>
    </row>
    <row r="18" spans="2:10" ht="15" thickBot="1" x14ac:dyDescent="0.35">
      <c r="B18" s="44"/>
      <c r="C18" s="51" t="str">
        <f>'Etap 1 - prototyp'!B14</f>
        <v/>
      </c>
      <c r="D18" s="36" t="str">
        <f>IF('Etap 1 - prototyp'!C14&lt;&gt;"",'Etap 1 - prototyp'!C14,"")</f>
        <v/>
      </c>
      <c r="E18" s="41" t="str">
        <f>IF('Etap 1 - prototyp'!D14&lt;&gt;"",'Etap 1 - prototyp'!D14,"")</f>
        <v/>
      </c>
      <c r="F18" s="50"/>
      <c r="G18" s="77" t="str">
        <f>'Etap 1 - testowanie'!B14</f>
        <v/>
      </c>
      <c r="H18" s="78" t="str">
        <f>IF('Etap 1 - testowanie'!C14&lt;&gt;"",'Etap 1 - testowanie'!C14,"")</f>
        <v/>
      </c>
      <c r="I18" s="78" t="str">
        <f>IF('Etap 1 - testowanie'!D14&lt;&gt;"",'Etap 1 - testowanie'!D14,"")</f>
        <v/>
      </c>
      <c r="J18" s="46"/>
    </row>
    <row r="19" spans="2:10" ht="15" thickBot="1" x14ac:dyDescent="0.35">
      <c r="B19" s="44"/>
      <c r="C19" s="190" t="s">
        <v>29</v>
      </c>
      <c r="D19" s="191"/>
      <c r="E19" s="52">
        <f>SUM(E9:E18)</f>
        <v>0</v>
      </c>
      <c r="F19" s="48"/>
      <c r="G19" s="190" t="s">
        <v>30</v>
      </c>
      <c r="H19" s="191"/>
      <c r="I19" s="52">
        <f>SUM(I9:I18)</f>
        <v>0</v>
      </c>
      <c r="J19" s="46"/>
    </row>
    <row r="20" spans="2:10" ht="15" thickBot="1" x14ac:dyDescent="0.35">
      <c r="B20" s="44"/>
      <c r="C20" s="48"/>
      <c r="D20" s="48"/>
      <c r="E20" s="48"/>
      <c r="F20" s="48"/>
      <c r="G20" s="48"/>
      <c r="H20" s="50"/>
      <c r="I20" s="50"/>
      <c r="J20" s="46"/>
    </row>
    <row r="21" spans="2:10" ht="15" thickBot="1" x14ac:dyDescent="0.35">
      <c r="B21" s="44"/>
      <c r="C21" s="48" t="str">
        <f>IF('Etap 1 - prototyp'!B17&lt;&gt;"",'Etap 1 - prototyp'!B17,"")</f>
        <v/>
      </c>
      <c r="D21" s="48"/>
      <c r="E21" s="48"/>
      <c r="F21" s="48"/>
      <c r="G21" s="48"/>
      <c r="H21" s="58" t="s">
        <v>24</v>
      </c>
      <c r="I21" s="52">
        <f>E19+I19</f>
        <v>0</v>
      </c>
      <c r="J21" s="46"/>
    </row>
    <row r="22" spans="2:10" ht="15" thickBot="1" x14ac:dyDescent="0.35">
      <c r="B22" s="53"/>
      <c r="C22" s="54"/>
      <c r="D22" s="54"/>
      <c r="E22" s="54"/>
      <c r="F22" s="54"/>
      <c r="G22" s="54"/>
      <c r="H22" s="54"/>
      <c r="I22" s="54"/>
      <c r="J22" s="55"/>
    </row>
    <row r="23" spans="2:10" ht="15" thickBot="1" x14ac:dyDescent="0.35"/>
    <row r="24" spans="2:10" ht="21.6" thickBot="1" x14ac:dyDescent="0.45">
      <c r="B24" s="62"/>
      <c r="C24" s="181" t="s">
        <v>22</v>
      </c>
      <c r="D24" s="181"/>
      <c r="E24" s="181"/>
      <c r="F24" s="181"/>
      <c r="G24" s="181"/>
      <c r="H24" s="181"/>
      <c r="I24" s="181"/>
      <c r="J24" s="63"/>
    </row>
    <row r="25" spans="2:10" ht="21.6" thickBot="1" x14ac:dyDescent="0.45">
      <c r="B25" s="44"/>
      <c r="C25" s="45"/>
      <c r="D25" s="45"/>
      <c r="E25" s="45"/>
      <c r="F25" s="45"/>
      <c r="G25" s="45"/>
      <c r="H25" s="45"/>
      <c r="I25" s="45"/>
      <c r="J25" s="46"/>
    </row>
    <row r="26" spans="2:10" x14ac:dyDescent="0.3">
      <c r="B26" s="44"/>
      <c r="C26" s="188" t="s">
        <v>25</v>
      </c>
      <c r="D26" s="56" t="s">
        <v>26</v>
      </c>
      <c r="E26" s="68" t="str">
        <f>IF('Etap 2 - prototyp'!E5="","",(MIN('Etap 2 - prototyp'!E5:E14)))</f>
        <v/>
      </c>
      <c r="F26" s="47"/>
      <c r="G26" s="48"/>
      <c r="H26" s="47"/>
      <c r="I26" s="47"/>
      <c r="J26" s="46"/>
    </row>
    <row r="27" spans="2:10" ht="15" thickBot="1" x14ac:dyDescent="0.35">
      <c r="B27" s="44"/>
      <c r="C27" s="189"/>
      <c r="D27" s="57" t="s">
        <v>27</v>
      </c>
      <c r="E27" s="69" t="str">
        <f>IF('Etap 2 - testowanie'!F5="","",MAX('Etap 2 - testowanie'!F5:F14))</f>
        <v/>
      </c>
      <c r="F27" s="47"/>
      <c r="G27" s="48"/>
      <c r="H27" s="47"/>
      <c r="I27" s="47"/>
      <c r="J27" s="46"/>
    </row>
    <row r="28" spans="2:10" ht="15" thickBot="1" x14ac:dyDescent="0.35">
      <c r="B28" s="44"/>
      <c r="C28" s="47"/>
      <c r="D28" s="47"/>
      <c r="E28" s="47"/>
      <c r="F28" s="47"/>
      <c r="G28" s="48"/>
      <c r="H28" s="48"/>
      <c r="I28" s="48"/>
      <c r="J28" s="46"/>
    </row>
    <row r="29" spans="2:10" x14ac:dyDescent="0.3">
      <c r="B29" s="44"/>
      <c r="C29" s="182" t="s">
        <v>180</v>
      </c>
      <c r="D29" s="183"/>
      <c r="E29" s="184"/>
      <c r="F29" s="47"/>
      <c r="G29" s="185" t="s">
        <v>183</v>
      </c>
      <c r="H29" s="186"/>
      <c r="I29" s="187"/>
      <c r="J29" s="46"/>
    </row>
    <row r="30" spans="2:10" x14ac:dyDescent="0.3">
      <c r="B30" s="44"/>
      <c r="C30" s="59" t="s">
        <v>21</v>
      </c>
      <c r="D30" s="60" t="s">
        <v>1</v>
      </c>
      <c r="E30" s="61" t="s">
        <v>20</v>
      </c>
      <c r="F30" s="48"/>
      <c r="G30" s="59" t="s">
        <v>21</v>
      </c>
      <c r="H30" s="60" t="s">
        <v>1</v>
      </c>
      <c r="I30" s="61" t="s">
        <v>20</v>
      </c>
      <c r="J30" s="46"/>
    </row>
    <row r="31" spans="2:10" x14ac:dyDescent="0.3">
      <c r="B31" s="44"/>
      <c r="C31" s="49" t="str">
        <f>'Etap 2 - prototyp'!B5</f>
        <v/>
      </c>
      <c r="D31" s="35" t="str">
        <f>IF('Etap 2 - prototyp'!C5&lt;&gt;"",'Etap 2 - prototyp'!C5,"")</f>
        <v/>
      </c>
      <c r="E31" s="40" t="str">
        <f>IF('Etap 2 - prototyp'!D5&lt;&gt;"",'Etap 2 - prototyp'!D5,"")</f>
        <v/>
      </c>
      <c r="F31" s="50"/>
      <c r="G31" s="49" t="str">
        <f>'Etap 2 - testowanie'!C5</f>
        <v/>
      </c>
      <c r="H31" s="75" t="str">
        <f>IF('Etap 2 - testowanie'!D5&lt;&gt;"",'Etap 2 - testowanie'!D5,"")</f>
        <v/>
      </c>
      <c r="I31" s="76" t="str">
        <f>IF('Etap 2 - testowanie'!E5&lt;&gt;"",'Etap 2 - testowanie'!E5,"")</f>
        <v/>
      </c>
      <c r="J31" s="46"/>
    </row>
    <row r="32" spans="2:10" x14ac:dyDescent="0.3">
      <c r="B32" s="44"/>
      <c r="C32" s="49" t="str">
        <f>'Etap 2 - prototyp'!B6</f>
        <v/>
      </c>
      <c r="D32" s="35" t="str">
        <f>IF('Etap 2 - prototyp'!C6&lt;&gt;"",'Etap 2 - prototyp'!C6,"")</f>
        <v/>
      </c>
      <c r="E32" s="40" t="str">
        <f>IF('Etap 2 - prototyp'!D6&lt;&gt;"",'Etap 2 - prototyp'!D6,"")</f>
        <v/>
      </c>
      <c r="F32" s="50"/>
      <c r="G32" s="49" t="str">
        <f>'Etap 2 - testowanie'!C6</f>
        <v/>
      </c>
      <c r="H32" s="75" t="str">
        <f>IF('Etap 2 - testowanie'!D6&lt;&gt;"",'Etap 2 - testowanie'!D6,"")</f>
        <v/>
      </c>
      <c r="I32" s="76" t="str">
        <f>IF('Etap 2 - testowanie'!E6&lt;&gt;"",'Etap 2 - testowanie'!E6,"")</f>
        <v/>
      </c>
      <c r="J32" s="46"/>
    </row>
    <row r="33" spans="2:10" x14ac:dyDescent="0.3">
      <c r="B33" s="44"/>
      <c r="C33" s="49" t="str">
        <f>'Etap 2 - prototyp'!B7</f>
        <v/>
      </c>
      <c r="D33" s="35" t="str">
        <f>IF('Etap 2 - prototyp'!C7&lt;&gt;"",'Etap 2 - prototyp'!C7,"")</f>
        <v/>
      </c>
      <c r="E33" s="40" t="str">
        <f>IF('Etap 2 - prototyp'!D7&lt;&gt;"",'Etap 2 - prototyp'!D7,"")</f>
        <v/>
      </c>
      <c r="F33" s="50"/>
      <c r="G33" s="49" t="str">
        <f>'Etap 2 - testowanie'!C7</f>
        <v/>
      </c>
      <c r="H33" s="75" t="str">
        <f>IF('Etap 2 - testowanie'!D7&lt;&gt;"",'Etap 2 - testowanie'!D7,"")</f>
        <v/>
      </c>
      <c r="I33" s="76" t="str">
        <f>IF('Etap 2 - testowanie'!E7&lt;&gt;"",'Etap 2 - testowanie'!E7,"")</f>
        <v/>
      </c>
      <c r="J33" s="46"/>
    </row>
    <row r="34" spans="2:10" x14ac:dyDescent="0.3">
      <c r="B34" s="44"/>
      <c r="C34" s="49" t="str">
        <f>'Etap 2 - prototyp'!B8</f>
        <v/>
      </c>
      <c r="D34" s="35" t="str">
        <f>IF('Etap 2 - prototyp'!C8&lt;&gt;"",'Etap 2 - prototyp'!C8,"")</f>
        <v/>
      </c>
      <c r="E34" s="40" t="str">
        <f>IF('Etap 2 - prototyp'!D8&lt;&gt;"",'Etap 2 - prototyp'!D8,"")</f>
        <v/>
      </c>
      <c r="F34" s="50"/>
      <c r="G34" s="49" t="str">
        <f>'Etap 2 - testowanie'!C8</f>
        <v/>
      </c>
      <c r="H34" s="75" t="str">
        <f>IF('Etap 2 - testowanie'!D8&lt;&gt;"",'Etap 2 - testowanie'!D8,"")</f>
        <v/>
      </c>
      <c r="I34" s="76" t="str">
        <f>IF('Etap 2 - testowanie'!E8&lt;&gt;"",'Etap 2 - testowanie'!E8,"")</f>
        <v/>
      </c>
      <c r="J34" s="46"/>
    </row>
    <row r="35" spans="2:10" x14ac:dyDescent="0.3">
      <c r="B35" s="44"/>
      <c r="C35" s="49" t="str">
        <f>'Etap 2 - prototyp'!B9</f>
        <v/>
      </c>
      <c r="D35" s="35" t="str">
        <f>IF('Etap 2 - prototyp'!C9&lt;&gt;"",'Etap 2 - prototyp'!C9,"")</f>
        <v/>
      </c>
      <c r="E35" s="40" t="str">
        <f>IF('Etap 2 - prototyp'!D9&lt;&gt;"",'Etap 2 - prototyp'!D9,"")</f>
        <v/>
      </c>
      <c r="F35" s="50"/>
      <c r="G35" s="49" t="str">
        <f>'Etap 2 - testowanie'!C9</f>
        <v/>
      </c>
      <c r="H35" s="75" t="str">
        <f>IF('Etap 2 - testowanie'!D9&lt;&gt;"",'Etap 2 - testowanie'!D9,"")</f>
        <v/>
      </c>
      <c r="I35" s="76" t="str">
        <f>IF('Etap 2 - testowanie'!E9&lt;&gt;"",'Etap 2 - testowanie'!E9,"")</f>
        <v/>
      </c>
      <c r="J35" s="46"/>
    </row>
    <row r="36" spans="2:10" x14ac:dyDescent="0.3">
      <c r="B36" s="44"/>
      <c r="C36" s="49" t="str">
        <f>'Etap 2 - prototyp'!B10</f>
        <v/>
      </c>
      <c r="D36" s="35" t="str">
        <f>IF('Etap 2 - prototyp'!C10&lt;&gt;"",'Etap 2 - prototyp'!C10,"")</f>
        <v/>
      </c>
      <c r="E36" s="40" t="str">
        <f>IF('Etap 2 - prototyp'!D10&lt;&gt;"",'Etap 2 - prototyp'!D10,"")</f>
        <v/>
      </c>
      <c r="F36" s="50"/>
      <c r="G36" s="49" t="str">
        <f>'Etap 2 - testowanie'!C10</f>
        <v/>
      </c>
      <c r="H36" s="75" t="str">
        <f>IF('Etap 2 - testowanie'!D10&lt;&gt;"",'Etap 2 - testowanie'!D10,"")</f>
        <v/>
      </c>
      <c r="I36" s="76" t="str">
        <f>IF('Etap 2 - testowanie'!E10&lt;&gt;"",'Etap 2 - testowanie'!E10,"")</f>
        <v/>
      </c>
      <c r="J36" s="46"/>
    </row>
    <row r="37" spans="2:10" x14ac:dyDescent="0.3">
      <c r="B37" s="44"/>
      <c r="C37" s="49" t="str">
        <f>'Etap 2 - prototyp'!B11</f>
        <v/>
      </c>
      <c r="D37" s="35" t="str">
        <f>IF('Etap 2 - prototyp'!C11&lt;&gt;"",'Etap 2 - prototyp'!C11,"")</f>
        <v/>
      </c>
      <c r="E37" s="40" t="str">
        <f>IF('Etap 2 - prototyp'!D11&lt;&gt;"",'Etap 2 - prototyp'!D11,"")</f>
        <v/>
      </c>
      <c r="F37" s="50"/>
      <c r="G37" s="49" t="str">
        <f>'Etap 2 - testowanie'!C11</f>
        <v/>
      </c>
      <c r="H37" s="75" t="str">
        <f>IF('Etap 2 - testowanie'!D11&lt;&gt;"",'Etap 2 - testowanie'!D11,"")</f>
        <v/>
      </c>
      <c r="I37" s="76" t="str">
        <f>IF('Etap 2 - testowanie'!E11&lt;&gt;"",'Etap 2 - testowanie'!E11,"")</f>
        <v/>
      </c>
      <c r="J37" s="46"/>
    </row>
    <row r="38" spans="2:10" x14ac:dyDescent="0.3">
      <c r="B38" s="44"/>
      <c r="C38" s="49" t="str">
        <f>'Etap 2 - prototyp'!B12</f>
        <v/>
      </c>
      <c r="D38" s="35" t="str">
        <f>IF('Etap 2 - prototyp'!C12&lt;&gt;"",'Etap 2 - prototyp'!C12,"")</f>
        <v/>
      </c>
      <c r="E38" s="40" t="str">
        <f>IF('Etap 2 - prototyp'!D12&lt;&gt;"",'Etap 2 - prototyp'!D12,"")</f>
        <v/>
      </c>
      <c r="F38" s="50"/>
      <c r="G38" s="49" t="str">
        <f>'Etap 2 - testowanie'!C12</f>
        <v/>
      </c>
      <c r="H38" s="75" t="str">
        <f>IF('Etap 2 - testowanie'!D12&lt;&gt;"",'Etap 2 - testowanie'!D12,"")</f>
        <v/>
      </c>
      <c r="I38" s="76" t="str">
        <f>IF('Etap 2 - testowanie'!E12&lt;&gt;"",'Etap 2 - testowanie'!E12,"")</f>
        <v/>
      </c>
      <c r="J38" s="46"/>
    </row>
    <row r="39" spans="2:10" x14ac:dyDescent="0.3">
      <c r="B39" s="44"/>
      <c r="C39" s="49" t="str">
        <f>'Etap 2 - prototyp'!B13</f>
        <v/>
      </c>
      <c r="D39" s="35" t="str">
        <f>IF('Etap 2 - prototyp'!C13&lt;&gt;"",'Etap 2 - prototyp'!C13,"")</f>
        <v/>
      </c>
      <c r="E39" s="40" t="str">
        <f>IF('Etap 2 - prototyp'!D13&lt;&gt;"",'Etap 2 - prototyp'!D13,"")</f>
        <v/>
      </c>
      <c r="F39" s="50"/>
      <c r="G39" s="49" t="str">
        <f>'Etap 2 - testowanie'!C13</f>
        <v/>
      </c>
      <c r="H39" s="75" t="str">
        <f>IF('Etap 2 - testowanie'!D13&lt;&gt;"",'Etap 2 - testowanie'!D13,"")</f>
        <v/>
      </c>
      <c r="I39" s="76" t="str">
        <f>IF('Etap 2 - testowanie'!E13&lt;&gt;"",'Etap 2 - testowanie'!E13,"")</f>
        <v/>
      </c>
      <c r="J39" s="46"/>
    </row>
    <row r="40" spans="2:10" ht="15" thickBot="1" x14ac:dyDescent="0.35">
      <c r="B40" s="44"/>
      <c r="C40" s="49" t="str">
        <f>'Etap 2 - prototyp'!B14</f>
        <v/>
      </c>
      <c r="D40" s="35" t="str">
        <f>IF('Etap 2 - prototyp'!C14&lt;&gt;"",'Etap 2 - prototyp'!C14,"")</f>
        <v/>
      </c>
      <c r="E40" s="40" t="str">
        <f>IF('Etap 2 - prototyp'!D14&lt;&gt;"",'Etap 2 - prototyp'!D14,"")</f>
        <v/>
      </c>
      <c r="F40" s="50"/>
      <c r="G40" s="51" t="str">
        <f>'Etap 2 - testowanie'!C14</f>
        <v/>
      </c>
      <c r="H40" s="120" t="str">
        <f>IF('Etap 2 - testowanie'!D14&lt;&gt;"",'Etap 2 - testowanie'!D14,"")</f>
        <v/>
      </c>
      <c r="I40" s="121" t="str">
        <f>IF('Etap 2 - testowanie'!E14&lt;&gt;"",'Etap 2 - testowanie'!E14,"")</f>
        <v/>
      </c>
      <c r="J40" s="46"/>
    </row>
    <row r="41" spans="2:10" ht="15" thickBot="1" x14ac:dyDescent="0.35">
      <c r="B41" s="44"/>
      <c r="C41" s="190" t="s">
        <v>186</v>
      </c>
      <c r="D41" s="191"/>
      <c r="E41" s="52">
        <f>SUM(E31:E40)</f>
        <v>0</v>
      </c>
      <c r="F41" s="48"/>
      <c r="G41" s="197" t="s">
        <v>185</v>
      </c>
      <c r="H41" s="198"/>
      <c r="I41" s="74">
        <f>SUM(I31:I40)</f>
        <v>0</v>
      </c>
      <c r="J41" s="46"/>
    </row>
    <row r="42" spans="2:10" ht="15" thickBot="1" x14ac:dyDescent="0.35">
      <c r="B42" s="44"/>
      <c r="C42" s="48"/>
      <c r="D42" s="48"/>
      <c r="E42" s="48"/>
      <c r="F42" s="48"/>
      <c r="G42" s="48"/>
      <c r="H42" s="50"/>
      <c r="I42" s="50"/>
      <c r="J42" s="46"/>
    </row>
    <row r="43" spans="2:10" ht="15" thickBot="1" x14ac:dyDescent="0.35">
      <c r="B43" s="44"/>
      <c r="C43" s="48"/>
      <c r="D43" s="48"/>
      <c r="E43" s="48"/>
      <c r="F43" s="48"/>
      <c r="G43" s="48"/>
      <c r="H43" s="58" t="s">
        <v>187</v>
      </c>
      <c r="I43" s="52">
        <f>E41+I41</f>
        <v>0</v>
      </c>
      <c r="J43" s="46"/>
    </row>
    <row r="44" spans="2:10" ht="15" thickBot="1" x14ac:dyDescent="0.35">
      <c r="B44" s="53"/>
      <c r="C44" s="54"/>
      <c r="D44" s="54"/>
      <c r="E44" s="54"/>
      <c r="F44" s="54"/>
      <c r="G44" s="54"/>
      <c r="H44" s="54"/>
      <c r="I44" s="54"/>
      <c r="J44" s="55"/>
    </row>
    <row r="45" spans="2:10" ht="15" thickBot="1" x14ac:dyDescent="0.35"/>
    <row r="46" spans="2:10" ht="21.6" thickBot="1" x14ac:dyDescent="0.45">
      <c r="B46" s="62"/>
      <c r="C46" s="181" t="s">
        <v>23</v>
      </c>
      <c r="D46" s="181"/>
      <c r="E46" s="181"/>
      <c r="F46" s="181"/>
      <c r="G46" s="181"/>
      <c r="H46" s="181"/>
      <c r="I46" s="181"/>
      <c r="J46" s="63"/>
    </row>
    <row r="47" spans="2:10" ht="15" thickBot="1" x14ac:dyDescent="0.35">
      <c r="B47" s="64"/>
      <c r="C47" s="66"/>
      <c r="D47" s="66"/>
      <c r="E47" s="66"/>
      <c r="F47" s="66"/>
      <c r="G47" s="66"/>
      <c r="H47" s="66"/>
      <c r="I47" s="66"/>
      <c r="J47" s="65"/>
    </row>
    <row r="48" spans="2:10" x14ac:dyDescent="0.3">
      <c r="B48" s="64"/>
      <c r="C48" s="188" t="s">
        <v>25</v>
      </c>
      <c r="D48" s="56" t="s">
        <v>26</v>
      </c>
      <c r="E48" s="68" t="str">
        <f>IF('Etap 3 - prototyp'!E5="","",(MIN('Etap 3 - prototyp'!E5:E14)))</f>
        <v/>
      </c>
      <c r="F48" s="47"/>
      <c r="G48" s="48"/>
      <c r="H48" s="48"/>
      <c r="I48" s="48"/>
      <c r="J48" s="65"/>
    </row>
    <row r="49" spans="2:10" ht="15" thickBot="1" x14ac:dyDescent="0.35">
      <c r="B49" s="64"/>
      <c r="C49" s="189"/>
      <c r="D49" s="57" t="s">
        <v>27</v>
      </c>
      <c r="E49" s="69" t="str">
        <f>IF('Etap 3 - prototyp'!E5="","",(MAX('Etap 3 - prototyp'!E5:E14)))</f>
        <v/>
      </c>
      <c r="F49" s="47"/>
      <c r="G49" s="48"/>
      <c r="H49" s="48"/>
      <c r="I49" s="48"/>
      <c r="J49" s="65"/>
    </row>
    <row r="50" spans="2:10" ht="15" thickBot="1" x14ac:dyDescent="0.35">
      <c r="B50" s="64"/>
      <c r="C50" s="47"/>
      <c r="D50" s="47"/>
      <c r="E50" s="47"/>
      <c r="F50" s="47"/>
      <c r="G50" s="48"/>
      <c r="H50" s="48"/>
      <c r="I50" s="48"/>
      <c r="J50" s="65"/>
    </row>
    <row r="51" spans="2:10" x14ac:dyDescent="0.3">
      <c r="B51" s="64"/>
      <c r="C51" s="182" t="s">
        <v>181</v>
      </c>
      <c r="D51" s="183"/>
      <c r="E51" s="184"/>
      <c r="F51" s="47"/>
      <c r="G51" s="48"/>
      <c r="H51" s="48"/>
      <c r="I51" s="48"/>
      <c r="J51" s="65"/>
    </row>
    <row r="52" spans="2:10" x14ac:dyDescent="0.3">
      <c r="B52" s="64"/>
      <c r="C52" s="59" t="s">
        <v>21</v>
      </c>
      <c r="D52" s="60" t="s">
        <v>1</v>
      </c>
      <c r="E52" s="61" t="s">
        <v>20</v>
      </c>
      <c r="F52" s="48"/>
      <c r="G52" s="48"/>
      <c r="H52" s="48"/>
      <c r="I52" s="48"/>
      <c r="J52" s="65"/>
    </row>
    <row r="53" spans="2:10" x14ac:dyDescent="0.3">
      <c r="B53" s="64"/>
      <c r="C53" s="49" t="str">
        <f>'Etap 3 - prototyp'!B5</f>
        <v/>
      </c>
      <c r="D53" s="43" t="str">
        <f>IF('Etap 3 - prototyp'!C5&lt;&gt;"",'Etap 3 - prototyp'!C5,"")</f>
        <v/>
      </c>
      <c r="E53" s="40" t="str">
        <f>IF('Etap 3 - prototyp'!D5&lt;&gt;"",'Etap 3 - prototyp'!D5,"")</f>
        <v/>
      </c>
      <c r="F53" s="50"/>
      <c r="G53" s="48"/>
      <c r="H53" s="48"/>
      <c r="I53" s="48"/>
      <c r="J53" s="65"/>
    </row>
    <row r="54" spans="2:10" x14ac:dyDescent="0.3">
      <c r="B54" s="64"/>
      <c r="C54" s="49" t="str">
        <f>'Etap 3 - prototyp'!B6</f>
        <v/>
      </c>
      <c r="D54" s="43" t="str">
        <f>IF('Etap 3 - prototyp'!C6&lt;&gt;"",'Etap 3 - prototyp'!C6,"")</f>
        <v/>
      </c>
      <c r="E54" s="40" t="str">
        <f>IF('Etap 3 - prototyp'!D6&lt;&gt;"",'Etap 3 - prototyp'!D6,"")</f>
        <v/>
      </c>
      <c r="F54" s="50"/>
      <c r="G54" s="48"/>
      <c r="H54" s="48"/>
      <c r="I54" s="48"/>
      <c r="J54" s="65"/>
    </row>
    <row r="55" spans="2:10" x14ac:dyDescent="0.3">
      <c r="B55" s="64"/>
      <c r="C55" s="49" t="str">
        <f>'Etap 3 - prototyp'!B7</f>
        <v/>
      </c>
      <c r="D55" s="43" t="str">
        <f>IF('Etap 3 - prototyp'!C7&lt;&gt;"",'Etap 3 - prototyp'!C7,"")</f>
        <v/>
      </c>
      <c r="E55" s="40" t="str">
        <f>IF('Etap 3 - prototyp'!D7&lt;&gt;"",'Etap 3 - prototyp'!D7,"")</f>
        <v/>
      </c>
      <c r="F55" s="50"/>
      <c r="G55" s="48"/>
      <c r="H55" s="48"/>
      <c r="I55" s="48"/>
      <c r="J55" s="65"/>
    </row>
    <row r="56" spans="2:10" x14ac:dyDescent="0.3">
      <c r="B56" s="64"/>
      <c r="C56" s="49" t="str">
        <f>'Etap 3 - prototyp'!B8</f>
        <v/>
      </c>
      <c r="D56" s="43" t="str">
        <f>IF('Etap 3 - prototyp'!C8&lt;&gt;"",'Etap 3 - prototyp'!C8,"")</f>
        <v/>
      </c>
      <c r="E56" s="40" t="str">
        <f>IF('Etap 3 - prototyp'!D8&lt;&gt;"",'Etap 3 - prototyp'!D8,"")</f>
        <v/>
      </c>
      <c r="F56" s="50"/>
      <c r="G56" s="48"/>
      <c r="H56" s="48"/>
      <c r="I56" s="48"/>
      <c r="J56" s="65"/>
    </row>
    <row r="57" spans="2:10" x14ac:dyDescent="0.3">
      <c r="B57" s="64"/>
      <c r="C57" s="49" t="str">
        <f>'Etap 3 - prototyp'!B9</f>
        <v/>
      </c>
      <c r="D57" s="43" t="str">
        <f>IF('Etap 3 - prototyp'!C9&lt;&gt;"",'Etap 3 - prototyp'!C9,"")</f>
        <v/>
      </c>
      <c r="E57" s="40" t="str">
        <f>IF('Etap 3 - prototyp'!D9&lt;&gt;"",'Etap 3 - prototyp'!D9,"")</f>
        <v/>
      </c>
      <c r="F57" s="50"/>
      <c r="G57" s="48"/>
      <c r="H57" s="48"/>
      <c r="I57" s="48"/>
      <c r="J57" s="65"/>
    </row>
    <row r="58" spans="2:10" x14ac:dyDescent="0.3">
      <c r="B58" s="64"/>
      <c r="C58" s="49" t="str">
        <f>'Etap 3 - prototyp'!B10</f>
        <v/>
      </c>
      <c r="D58" s="43" t="str">
        <f>IF('Etap 3 - prototyp'!C10&lt;&gt;"",'Etap 3 - prototyp'!C10,"")</f>
        <v/>
      </c>
      <c r="E58" s="40" t="str">
        <f>IF('Etap 3 - prototyp'!D10&lt;&gt;"",'Etap 3 - prototyp'!D10,"")</f>
        <v/>
      </c>
      <c r="F58" s="50"/>
      <c r="G58" s="48"/>
      <c r="H58" s="48"/>
      <c r="I58" s="48"/>
      <c r="J58" s="65"/>
    </row>
    <row r="59" spans="2:10" x14ac:dyDescent="0.3">
      <c r="B59" s="64"/>
      <c r="C59" s="49" t="str">
        <f>'Etap 3 - prototyp'!B11</f>
        <v/>
      </c>
      <c r="D59" s="43" t="str">
        <f>IF('Etap 3 - prototyp'!C11&lt;&gt;"",'Etap 3 - prototyp'!C11,"")</f>
        <v/>
      </c>
      <c r="E59" s="40" t="str">
        <f>IF('Etap 3 - prototyp'!D11&lt;&gt;"",'Etap 3 - prototyp'!D11,"")</f>
        <v/>
      </c>
      <c r="F59" s="50"/>
      <c r="G59" s="48"/>
      <c r="H59" s="48"/>
      <c r="I59" s="48"/>
      <c r="J59" s="65"/>
    </row>
    <row r="60" spans="2:10" x14ac:dyDescent="0.3">
      <c r="B60" s="64"/>
      <c r="C60" s="49" t="str">
        <f>'Etap 3 - prototyp'!B12</f>
        <v/>
      </c>
      <c r="D60" s="43" t="str">
        <f>IF('Etap 3 - prototyp'!C12&lt;&gt;"",'Etap 3 - prototyp'!C12,"")</f>
        <v/>
      </c>
      <c r="E60" s="40" t="str">
        <f>IF('Etap 3 - prototyp'!D12&lt;&gt;"",'Etap 3 - prototyp'!D12,"")</f>
        <v/>
      </c>
      <c r="F60" s="50"/>
      <c r="G60" s="48"/>
      <c r="H60" s="48"/>
      <c r="I60" s="48"/>
      <c r="J60" s="65"/>
    </row>
    <row r="61" spans="2:10" x14ac:dyDescent="0.3">
      <c r="B61" s="64"/>
      <c r="C61" s="49" t="str">
        <f>'Etap 3 - prototyp'!B13</f>
        <v/>
      </c>
      <c r="D61" s="43" t="str">
        <f>IF('Etap 3 - prototyp'!C13&lt;&gt;"",'Etap 3 - prototyp'!C13,"")</f>
        <v/>
      </c>
      <c r="E61" s="40" t="str">
        <f>IF('Etap 3 - prototyp'!D13&lt;&gt;"",'Etap 3 - prototyp'!D13,"")</f>
        <v/>
      </c>
      <c r="F61" s="50"/>
      <c r="G61" s="48"/>
      <c r="H61" s="48"/>
      <c r="I61" s="48"/>
      <c r="J61" s="65"/>
    </row>
    <row r="62" spans="2:10" ht="15" thickBot="1" x14ac:dyDescent="0.35">
      <c r="B62" s="64"/>
      <c r="C62" s="49" t="str">
        <f>'Etap 3 - prototyp'!B14</f>
        <v/>
      </c>
      <c r="D62" s="43" t="str">
        <f>IF('Etap 3 - prototyp'!C14&lt;&gt;"",'Etap 3 - prototyp'!C14,"")</f>
        <v/>
      </c>
      <c r="E62" s="40" t="str">
        <f>IF('Etap 3 - prototyp'!D14&lt;&gt;"",'Etap 3 - prototyp'!D14,"")</f>
        <v/>
      </c>
      <c r="F62" s="50"/>
      <c r="G62" s="48"/>
      <c r="H62" s="48"/>
      <c r="I62" s="48"/>
      <c r="J62" s="65"/>
    </row>
    <row r="63" spans="2:10" ht="15" thickBot="1" x14ac:dyDescent="0.35">
      <c r="B63" s="64"/>
      <c r="C63" s="190" t="s">
        <v>158</v>
      </c>
      <c r="D63" s="191"/>
      <c r="E63" s="52">
        <f>SUM(E53:E62)</f>
        <v>0</v>
      </c>
      <c r="F63" s="48"/>
      <c r="G63" s="48"/>
      <c r="H63" s="48"/>
      <c r="I63" s="48"/>
      <c r="J63" s="65"/>
    </row>
    <row r="64" spans="2:10" ht="15" thickBot="1" x14ac:dyDescent="0.35">
      <c r="B64" s="64"/>
      <c r="C64" s="48"/>
      <c r="D64" s="48"/>
      <c r="E64" s="48"/>
      <c r="F64" s="48"/>
      <c r="G64" s="48"/>
      <c r="H64" s="50"/>
      <c r="I64" s="50"/>
      <c r="J64" s="65"/>
    </row>
    <row r="65" spans="2:10" ht="15" thickBot="1" x14ac:dyDescent="0.35">
      <c r="B65" s="64"/>
      <c r="C65" s="48"/>
      <c r="D65" s="48"/>
      <c r="E65" s="48"/>
      <c r="F65" s="48"/>
      <c r="G65" s="48"/>
      <c r="H65" s="58" t="s">
        <v>159</v>
      </c>
      <c r="I65" s="52">
        <f>E63</f>
        <v>0</v>
      </c>
      <c r="J65" s="65"/>
    </row>
    <row r="66" spans="2:10" x14ac:dyDescent="0.3">
      <c r="B66" s="64"/>
      <c r="C66" s="66"/>
      <c r="D66" s="66"/>
      <c r="E66" s="66"/>
      <c r="F66" s="66"/>
      <c r="G66" s="66"/>
      <c r="H66" s="66"/>
      <c r="I66" s="66"/>
      <c r="J66" s="65"/>
    </row>
    <row r="68" spans="2:10" ht="15" thickBot="1" x14ac:dyDescent="0.35"/>
    <row r="69" spans="2:10" ht="21.6" thickBot="1" x14ac:dyDescent="0.45">
      <c r="B69" s="192" t="s">
        <v>28</v>
      </c>
      <c r="C69" s="193"/>
      <c r="D69" s="193"/>
      <c r="E69" s="193"/>
      <c r="F69" s="193"/>
      <c r="G69" s="193"/>
      <c r="H69" s="194"/>
      <c r="I69" s="195">
        <f>I65+I43+I21</f>
        <v>0</v>
      </c>
      <c r="J69" s="196"/>
    </row>
  </sheetData>
  <mergeCells count="18">
    <mergeCell ref="B69:H69"/>
    <mergeCell ref="I69:J69"/>
    <mergeCell ref="C7:E7"/>
    <mergeCell ref="G7:I7"/>
    <mergeCell ref="C46:I46"/>
    <mergeCell ref="C41:D41"/>
    <mergeCell ref="G41:H41"/>
    <mergeCell ref="C48:C49"/>
    <mergeCell ref="C51:E51"/>
    <mergeCell ref="C63:D63"/>
    <mergeCell ref="C2:I2"/>
    <mergeCell ref="C24:I24"/>
    <mergeCell ref="C29:E29"/>
    <mergeCell ref="G29:I29"/>
    <mergeCell ref="C4:C5"/>
    <mergeCell ref="C26:C27"/>
    <mergeCell ref="C19:D19"/>
    <mergeCell ref="G19:H19"/>
  </mergeCells>
  <phoneticPr fontId="4" type="noConversion"/>
  <dataValidations count="1">
    <dataValidation type="whole" allowBlank="1" showInputMessage="1" showErrorMessage="1" sqref="E28 I27 E6 E50" xr:uid="{8D8F9BD6-3B0A-4967-BE6B-796A5962948C}">
      <formula1>0</formula1>
      <formula2>25</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169B7-3FA4-49C3-B53C-30BF85841B87}">
  <dimension ref="B2:D9"/>
  <sheetViews>
    <sheetView workbookViewId="0">
      <selection activeCell="C10" sqref="C10"/>
    </sheetView>
  </sheetViews>
  <sheetFormatPr defaultRowHeight="14.4" x14ac:dyDescent="0.3"/>
  <cols>
    <col min="2" max="2" width="17.5546875" bestFit="1" customWidth="1"/>
    <col min="3" max="3" width="13.88671875" customWidth="1"/>
    <col min="4" max="4" width="13.44140625" bestFit="1" customWidth="1"/>
  </cols>
  <sheetData>
    <row r="2" spans="2:4" x14ac:dyDescent="0.3">
      <c r="B2" s="1" t="s">
        <v>7</v>
      </c>
      <c r="C2" s="1" t="s">
        <v>11</v>
      </c>
      <c r="D2" s="42" t="s">
        <v>147</v>
      </c>
    </row>
    <row r="3" spans="2:4" x14ac:dyDescent="0.3">
      <c r="B3" t="s">
        <v>12</v>
      </c>
      <c r="C3" t="s">
        <v>12</v>
      </c>
      <c r="D3" t="s">
        <v>148</v>
      </c>
    </row>
    <row r="4" spans="2:4" x14ac:dyDescent="0.3">
      <c r="B4" t="s">
        <v>8</v>
      </c>
      <c r="C4" t="s">
        <v>16</v>
      </c>
      <c r="D4" t="s">
        <v>149</v>
      </c>
    </row>
    <row r="5" spans="2:4" x14ac:dyDescent="0.3">
      <c r="B5" t="s">
        <v>9</v>
      </c>
      <c r="C5" t="s">
        <v>140</v>
      </c>
      <c r="D5" t="s">
        <v>150</v>
      </c>
    </row>
    <row r="6" spans="2:4" x14ac:dyDescent="0.3">
      <c r="B6" t="s">
        <v>10</v>
      </c>
      <c r="C6" t="s">
        <v>171</v>
      </c>
    </row>
    <row r="7" spans="2:4" x14ac:dyDescent="0.3">
      <c r="C7" t="s">
        <v>172</v>
      </c>
    </row>
    <row r="8" spans="2:4" x14ac:dyDescent="0.3">
      <c r="C8" t="s">
        <v>173</v>
      </c>
    </row>
    <row r="9" spans="2:4" x14ac:dyDescent="0.3">
      <c r="C9" t="s">
        <v>174</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9AE7-2EC7-40BE-83CE-31E8ED953D72}">
  <sheetPr>
    <tabColor theme="7" tint="0.59999389629810485"/>
    <pageSetUpPr fitToPage="1"/>
  </sheetPr>
  <dimension ref="A1:E60"/>
  <sheetViews>
    <sheetView view="pageBreakPreview" topLeftCell="D1" zoomScale="90" zoomScaleNormal="90" zoomScaleSheetLayoutView="90" workbookViewId="0">
      <selection activeCell="F3" sqref="F3"/>
    </sheetView>
  </sheetViews>
  <sheetFormatPr defaultColWidth="9.109375" defaultRowHeight="14.4" x14ac:dyDescent="0.3"/>
  <cols>
    <col min="1" max="1" width="6.5546875" style="23" customWidth="1"/>
    <col min="2" max="2" width="28.88671875" style="24" customWidth="1"/>
    <col min="3" max="3" width="72.5546875" style="25" customWidth="1"/>
    <col min="4" max="4" width="29.44140625" style="26" customWidth="1"/>
    <col min="5" max="5" width="68.6640625" style="25" customWidth="1"/>
    <col min="6" max="6" width="25.33203125" style="10" customWidth="1"/>
    <col min="7" max="16384" width="9.109375" style="10"/>
  </cols>
  <sheetData>
    <row r="1" spans="1:5" s="9" customFormat="1" ht="26.4" x14ac:dyDescent="0.3">
      <c r="A1" s="6" t="s">
        <v>33</v>
      </c>
      <c r="B1" s="7" t="s">
        <v>34</v>
      </c>
      <c r="C1" s="8" t="s">
        <v>35</v>
      </c>
      <c r="D1" s="6" t="s">
        <v>36</v>
      </c>
      <c r="E1" s="8" t="s">
        <v>37</v>
      </c>
    </row>
    <row r="2" spans="1:5" ht="24" customHeight="1" x14ac:dyDescent="0.3">
      <c r="A2" s="274">
        <v>1</v>
      </c>
      <c r="B2" s="275" t="s">
        <v>38</v>
      </c>
      <c r="C2" s="276" t="s">
        <v>39</v>
      </c>
      <c r="D2" s="274" t="s">
        <v>40</v>
      </c>
      <c r="E2" s="277" t="s">
        <v>41</v>
      </c>
    </row>
    <row r="3" spans="1:5" x14ac:dyDescent="0.3">
      <c r="A3" s="274"/>
      <c r="B3" s="275"/>
      <c r="C3" s="276"/>
      <c r="D3" s="274"/>
      <c r="E3" s="277"/>
    </row>
    <row r="4" spans="1:5" ht="96" customHeight="1" x14ac:dyDescent="0.3">
      <c r="A4" s="274"/>
      <c r="B4" s="275"/>
      <c r="C4" s="276"/>
      <c r="D4" s="274"/>
      <c r="E4" s="277"/>
    </row>
    <row r="5" spans="1:5" ht="24" customHeight="1" x14ac:dyDescent="0.3">
      <c r="A5" s="274">
        <v>2</v>
      </c>
      <c r="B5" s="275" t="s">
        <v>42</v>
      </c>
      <c r="C5" s="276" t="s">
        <v>43</v>
      </c>
      <c r="D5" s="274" t="s">
        <v>44</v>
      </c>
      <c r="E5" s="277" t="s">
        <v>45</v>
      </c>
    </row>
    <row r="6" spans="1:5" ht="34.5" customHeight="1" x14ac:dyDescent="0.3">
      <c r="A6" s="274"/>
      <c r="B6" s="275"/>
      <c r="C6" s="276"/>
      <c r="D6" s="274"/>
      <c r="E6" s="277"/>
    </row>
    <row r="7" spans="1:5" ht="66" customHeight="1" x14ac:dyDescent="0.3">
      <c r="A7" s="274"/>
      <c r="B7" s="275"/>
      <c r="C7" s="276"/>
      <c r="D7" s="274"/>
      <c r="E7" s="277"/>
    </row>
    <row r="8" spans="1:5" ht="96" customHeight="1" x14ac:dyDescent="0.3">
      <c r="A8" s="274">
        <v>3</v>
      </c>
      <c r="B8" s="275" t="s">
        <v>46</v>
      </c>
      <c r="C8" s="276" t="s">
        <v>47</v>
      </c>
      <c r="D8" s="274" t="s">
        <v>48</v>
      </c>
      <c r="E8" s="277" t="s">
        <v>49</v>
      </c>
    </row>
    <row r="9" spans="1:5" x14ac:dyDescent="0.3">
      <c r="A9" s="274"/>
      <c r="B9" s="275"/>
      <c r="C9" s="276"/>
      <c r="D9" s="274"/>
      <c r="E9" s="277"/>
    </row>
    <row r="10" spans="1:5" x14ac:dyDescent="0.3">
      <c r="A10" s="274"/>
      <c r="B10" s="275"/>
      <c r="C10" s="276"/>
      <c r="D10" s="274"/>
      <c r="E10" s="277"/>
    </row>
    <row r="11" spans="1:5" ht="108" customHeight="1" x14ac:dyDescent="0.3">
      <c r="A11" s="274">
        <v>4</v>
      </c>
      <c r="B11" s="275" t="s">
        <v>50</v>
      </c>
      <c r="C11" s="276" t="s">
        <v>51</v>
      </c>
      <c r="D11" s="274" t="s">
        <v>52</v>
      </c>
      <c r="E11" s="276" t="s">
        <v>53</v>
      </c>
    </row>
    <row r="12" spans="1:5" x14ac:dyDescent="0.3">
      <c r="A12" s="274"/>
      <c r="B12" s="275"/>
      <c r="C12" s="276"/>
      <c r="D12" s="274"/>
      <c r="E12" s="276"/>
    </row>
    <row r="13" spans="1:5" x14ac:dyDescent="0.3">
      <c r="A13" s="274"/>
      <c r="B13" s="275"/>
      <c r="C13" s="276"/>
      <c r="D13" s="274"/>
      <c r="E13" s="276"/>
    </row>
    <row r="14" spans="1:5" ht="45" customHeight="1" x14ac:dyDescent="0.3">
      <c r="A14" s="274"/>
      <c r="B14" s="275"/>
      <c r="C14" s="276"/>
      <c r="D14" s="274"/>
      <c r="E14" s="276"/>
    </row>
    <row r="15" spans="1:5" ht="93" customHeight="1" x14ac:dyDescent="0.3">
      <c r="A15" s="274" t="s">
        <v>54</v>
      </c>
      <c r="B15" s="275" t="s">
        <v>55</v>
      </c>
      <c r="C15" s="276" t="s">
        <v>56</v>
      </c>
      <c r="D15" s="274" t="s">
        <v>57</v>
      </c>
      <c r="E15" s="276" t="s">
        <v>58</v>
      </c>
    </row>
    <row r="16" spans="1:5" hidden="1" x14ac:dyDescent="0.3">
      <c r="A16" s="274"/>
      <c r="B16" s="275"/>
      <c r="C16" s="276"/>
      <c r="D16" s="274"/>
      <c r="E16" s="276"/>
    </row>
    <row r="17" spans="1:5" hidden="1" x14ac:dyDescent="0.3">
      <c r="A17" s="274"/>
      <c r="B17" s="275"/>
      <c r="C17" s="276"/>
      <c r="D17" s="274"/>
      <c r="E17" s="276"/>
    </row>
    <row r="18" spans="1:5" ht="96" customHeight="1" x14ac:dyDescent="0.3">
      <c r="A18" s="274" t="s">
        <v>59</v>
      </c>
      <c r="B18" s="275" t="s">
        <v>60</v>
      </c>
      <c r="C18" s="276" t="s">
        <v>61</v>
      </c>
      <c r="D18" s="274" t="s">
        <v>62</v>
      </c>
      <c r="E18" s="276" t="s">
        <v>63</v>
      </c>
    </row>
    <row r="19" spans="1:5" x14ac:dyDescent="0.3">
      <c r="A19" s="274"/>
      <c r="B19" s="275"/>
      <c r="C19" s="276"/>
      <c r="D19" s="274"/>
      <c r="E19" s="276"/>
    </row>
    <row r="20" spans="1:5" x14ac:dyDescent="0.3">
      <c r="A20" s="274"/>
      <c r="B20" s="275"/>
      <c r="C20" s="276"/>
      <c r="D20" s="274"/>
      <c r="E20" s="276"/>
    </row>
    <row r="21" spans="1:5" ht="27.75" customHeight="1" x14ac:dyDescent="0.3">
      <c r="A21" s="274"/>
      <c r="B21" s="275"/>
      <c r="C21" s="276"/>
      <c r="D21" s="274"/>
      <c r="E21" s="276"/>
    </row>
    <row r="22" spans="1:5" ht="67.2" customHeight="1" x14ac:dyDescent="0.3">
      <c r="A22" s="274" t="s">
        <v>64</v>
      </c>
      <c r="B22" s="275" t="s">
        <v>65</v>
      </c>
      <c r="C22" s="276" t="s">
        <v>66</v>
      </c>
      <c r="D22" s="274" t="s">
        <v>67</v>
      </c>
      <c r="E22" s="276" t="s">
        <v>68</v>
      </c>
    </row>
    <row r="23" spans="1:5" hidden="1" x14ac:dyDescent="0.3">
      <c r="A23" s="274"/>
      <c r="B23" s="275"/>
      <c r="C23" s="276"/>
      <c r="D23" s="274"/>
      <c r="E23" s="276"/>
    </row>
    <row r="24" spans="1:5" ht="5.4" hidden="1" customHeight="1" x14ac:dyDescent="0.3">
      <c r="A24" s="274"/>
      <c r="B24" s="275"/>
      <c r="C24" s="276"/>
      <c r="D24" s="274"/>
      <c r="E24" s="276"/>
    </row>
    <row r="25" spans="1:5" ht="42" customHeight="1" x14ac:dyDescent="0.3">
      <c r="A25" s="274"/>
      <c r="B25" s="275"/>
      <c r="C25" s="276"/>
      <c r="D25" s="274"/>
      <c r="E25" s="276"/>
    </row>
    <row r="26" spans="1:5" ht="72" customHeight="1" x14ac:dyDescent="0.3">
      <c r="A26" s="274">
        <v>8</v>
      </c>
      <c r="B26" s="278" t="s">
        <v>69</v>
      </c>
      <c r="C26" s="276" t="s">
        <v>70</v>
      </c>
      <c r="D26" s="274" t="s">
        <v>71</v>
      </c>
      <c r="E26" s="277" t="s">
        <v>72</v>
      </c>
    </row>
    <row r="27" spans="1:5" x14ac:dyDescent="0.3">
      <c r="A27" s="274"/>
      <c r="B27" s="278"/>
      <c r="C27" s="276"/>
      <c r="D27" s="274"/>
      <c r="E27" s="277"/>
    </row>
    <row r="28" spans="1:5" ht="43.5" customHeight="1" x14ac:dyDescent="0.3">
      <c r="A28" s="274"/>
      <c r="B28" s="278"/>
      <c r="C28" s="276"/>
      <c r="D28" s="274"/>
      <c r="E28" s="277"/>
    </row>
    <row r="29" spans="1:5" ht="152.25" customHeight="1" x14ac:dyDescent="0.3">
      <c r="A29" s="274" t="s">
        <v>73</v>
      </c>
      <c r="B29" s="275" t="s">
        <v>74</v>
      </c>
      <c r="C29" s="276" t="s">
        <v>75</v>
      </c>
      <c r="D29" s="274" t="s">
        <v>76</v>
      </c>
      <c r="E29" s="277" t="s">
        <v>77</v>
      </c>
    </row>
    <row r="30" spans="1:5" hidden="1" x14ac:dyDescent="0.3">
      <c r="A30" s="274"/>
      <c r="B30" s="275"/>
      <c r="C30" s="276"/>
      <c r="D30" s="274"/>
      <c r="E30" s="277"/>
    </row>
    <row r="31" spans="1:5" hidden="1" x14ac:dyDescent="0.3">
      <c r="A31" s="274"/>
      <c r="B31" s="275"/>
      <c r="C31" s="276"/>
      <c r="D31" s="274"/>
      <c r="E31" s="277"/>
    </row>
    <row r="32" spans="1:5" x14ac:dyDescent="0.3">
      <c r="A32" s="274" t="s">
        <v>78</v>
      </c>
      <c r="B32" s="275" t="s">
        <v>79</v>
      </c>
      <c r="C32" s="276" t="s">
        <v>80</v>
      </c>
      <c r="D32" s="274" t="s">
        <v>81</v>
      </c>
      <c r="E32" s="277" t="s">
        <v>82</v>
      </c>
    </row>
    <row r="33" spans="1:5" x14ac:dyDescent="0.3">
      <c r="A33" s="274"/>
      <c r="B33" s="275"/>
      <c r="C33" s="276"/>
      <c r="D33" s="274"/>
      <c r="E33" s="277"/>
    </row>
    <row r="34" spans="1:5" x14ac:dyDescent="0.3">
      <c r="A34" s="274"/>
      <c r="B34" s="275"/>
      <c r="C34" s="276"/>
      <c r="D34" s="274"/>
      <c r="E34" s="277"/>
    </row>
    <row r="35" spans="1:5" ht="90.75" customHeight="1" x14ac:dyDescent="0.3">
      <c r="A35" s="274"/>
      <c r="B35" s="275"/>
      <c r="C35" s="276"/>
      <c r="D35" s="274"/>
      <c r="E35" s="277"/>
    </row>
    <row r="36" spans="1:5" x14ac:dyDescent="0.3">
      <c r="A36" s="274" t="s">
        <v>83</v>
      </c>
      <c r="B36" s="278" t="s">
        <v>84</v>
      </c>
      <c r="C36" s="276" t="s">
        <v>85</v>
      </c>
      <c r="D36" s="274" t="s">
        <v>86</v>
      </c>
      <c r="E36" s="277" t="s">
        <v>87</v>
      </c>
    </row>
    <row r="37" spans="1:5" x14ac:dyDescent="0.3">
      <c r="A37" s="274"/>
      <c r="B37" s="278"/>
      <c r="C37" s="276"/>
      <c r="D37" s="274"/>
      <c r="E37" s="277"/>
    </row>
    <row r="38" spans="1:5" x14ac:dyDescent="0.3">
      <c r="A38" s="274"/>
      <c r="B38" s="278"/>
      <c r="C38" s="276"/>
      <c r="D38" s="274"/>
      <c r="E38" s="277"/>
    </row>
    <row r="39" spans="1:5" x14ac:dyDescent="0.3">
      <c r="A39" s="274"/>
      <c r="B39" s="278"/>
      <c r="C39" s="276"/>
      <c r="D39" s="274"/>
      <c r="E39" s="277"/>
    </row>
    <row r="40" spans="1:5" ht="171" customHeight="1" x14ac:dyDescent="0.3">
      <c r="A40" s="274"/>
      <c r="B40" s="278"/>
      <c r="C40" s="276"/>
      <c r="D40" s="274"/>
      <c r="E40" s="277"/>
    </row>
    <row r="41" spans="1:5" x14ac:dyDescent="0.3">
      <c r="A41" s="274" t="s">
        <v>88</v>
      </c>
      <c r="B41" s="278" t="s">
        <v>89</v>
      </c>
      <c r="C41" s="276" t="s">
        <v>90</v>
      </c>
      <c r="D41" s="274" t="s">
        <v>91</v>
      </c>
      <c r="E41" s="277" t="s">
        <v>92</v>
      </c>
    </row>
    <row r="42" spans="1:5" ht="96" customHeight="1" x14ac:dyDescent="0.3">
      <c r="A42" s="274"/>
      <c r="B42" s="278"/>
      <c r="C42" s="276"/>
      <c r="D42" s="274"/>
      <c r="E42" s="277"/>
    </row>
    <row r="43" spans="1:5" ht="79.95" customHeight="1" x14ac:dyDescent="0.3">
      <c r="A43" s="11">
        <v>13</v>
      </c>
      <c r="B43" s="12" t="s">
        <v>93</v>
      </c>
      <c r="C43" s="13"/>
      <c r="D43" s="14" t="s">
        <v>94</v>
      </c>
      <c r="E43" s="15" t="s">
        <v>95</v>
      </c>
    </row>
    <row r="44" spans="1:5" ht="40.200000000000003" x14ac:dyDescent="0.3">
      <c r="A44" s="11">
        <v>14</v>
      </c>
      <c r="B44" s="12" t="s">
        <v>96</v>
      </c>
      <c r="C44" s="13"/>
      <c r="D44" s="14" t="s">
        <v>97</v>
      </c>
      <c r="E44" s="15" t="s">
        <v>98</v>
      </c>
    </row>
    <row r="45" spans="1:5" ht="53.4" x14ac:dyDescent="0.3">
      <c r="A45" s="11">
        <v>15</v>
      </c>
      <c r="B45" s="12" t="s">
        <v>99</v>
      </c>
      <c r="C45" s="13"/>
      <c r="D45" s="14" t="s">
        <v>100</v>
      </c>
      <c r="E45" s="15" t="s">
        <v>101</v>
      </c>
    </row>
    <row r="46" spans="1:5" ht="48" customHeight="1" x14ac:dyDescent="0.3">
      <c r="A46" s="11">
        <v>16</v>
      </c>
      <c r="B46" s="12" t="s">
        <v>102</v>
      </c>
      <c r="C46" s="13"/>
      <c r="D46" s="16" t="s">
        <v>103</v>
      </c>
      <c r="E46" s="17" t="s">
        <v>104</v>
      </c>
    </row>
    <row r="47" spans="1:5" ht="53.4" x14ac:dyDescent="0.3">
      <c r="A47" s="11">
        <v>17</v>
      </c>
      <c r="B47" s="12" t="s">
        <v>105</v>
      </c>
      <c r="C47" s="13"/>
      <c r="D47" s="16" t="s">
        <v>106</v>
      </c>
      <c r="E47" s="17" t="s">
        <v>107</v>
      </c>
    </row>
    <row r="48" spans="1:5" ht="40.200000000000003" x14ac:dyDescent="0.3">
      <c r="A48" s="11">
        <v>18</v>
      </c>
      <c r="B48" s="12" t="s">
        <v>108</v>
      </c>
      <c r="C48" s="13"/>
      <c r="D48" s="16" t="s">
        <v>109</v>
      </c>
      <c r="E48" s="17" t="s">
        <v>110</v>
      </c>
    </row>
    <row r="49" spans="1:5" ht="119.4" x14ac:dyDescent="0.3">
      <c r="A49" s="11">
        <v>19</v>
      </c>
      <c r="B49" s="12" t="s">
        <v>111</v>
      </c>
      <c r="C49" s="13"/>
      <c r="D49" s="14" t="s">
        <v>112</v>
      </c>
      <c r="E49" s="17" t="s">
        <v>113</v>
      </c>
    </row>
    <row r="50" spans="1:5" ht="105.6" x14ac:dyDescent="0.3">
      <c r="A50" s="11">
        <v>20</v>
      </c>
      <c r="B50" s="12" t="s">
        <v>114</v>
      </c>
      <c r="C50" s="13"/>
      <c r="D50" s="14" t="s">
        <v>115</v>
      </c>
      <c r="E50" s="17" t="s">
        <v>116</v>
      </c>
    </row>
    <row r="51" spans="1:5" ht="119.4" x14ac:dyDescent="0.3">
      <c r="A51" s="11">
        <v>21</v>
      </c>
      <c r="B51" s="12" t="s">
        <v>117</v>
      </c>
      <c r="C51" s="13"/>
      <c r="D51" s="14" t="s">
        <v>118</v>
      </c>
      <c r="E51" s="17" t="s">
        <v>119</v>
      </c>
    </row>
    <row r="52" spans="1:5" ht="40.200000000000003" x14ac:dyDescent="0.3">
      <c r="A52" s="11">
        <v>22</v>
      </c>
      <c r="B52" s="12" t="s">
        <v>120</v>
      </c>
      <c r="C52" s="13"/>
      <c r="D52" s="18" t="s">
        <v>121</v>
      </c>
      <c r="E52" s="17" t="s">
        <v>122</v>
      </c>
    </row>
    <row r="53" spans="1:5" ht="96" customHeight="1" x14ac:dyDescent="0.3">
      <c r="A53" s="11">
        <v>23</v>
      </c>
      <c r="B53" s="12" t="s">
        <v>123</v>
      </c>
      <c r="C53" s="13"/>
      <c r="D53" s="19" t="s">
        <v>124</v>
      </c>
      <c r="E53" s="17" t="s">
        <v>125</v>
      </c>
    </row>
    <row r="54" spans="1:5" ht="66.599999999999994" customHeight="1" x14ac:dyDescent="0.3">
      <c r="A54" s="11">
        <v>24</v>
      </c>
      <c r="B54" s="12" t="s">
        <v>126</v>
      </c>
      <c r="C54" s="13"/>
      <c r="D54" s="18" t="s">
        <v>127</v>
      </c>
      <c r="E54" s="17" t="s">
        <v>128</v>
      </c>
    </row>
    <row r="55" spans="1:5" ht="93" x14ac:dyDescent="0.3">
      <c r="A55" s="11">
        <v>25</v>
      </c>
      <c r="B55" s="20" t="s">
        <v>129</v>
      </c>
      <c r="C55" s="17" t="s">
        <v>130</v>
      </c>
      <c r="D55" s="18" t="s">
        <v>131</v>
      </c>
      <c r="E55" s="15" t="s">
        <v>132</v>
      </c>
    </row>
    <row r="56" spans="1:5" ht="112.2" customHeight="1" x14ac:dyDescent="0.3">
      <c r="A56" s="11">
        <v>26</v>
      </c>
      <c r="B56" s="20" t="s">
        <v>133</v>
      </c>
      <c r="C56" s="13"/>
      <c r="D56" s="21" t="s">
        <v>134</v>
      </c>
      <c r="E56" s="17" t="s">
        <v>135</v>
      </c>
    </row>
    <row r="57" spans="1:5" ht="27" x14ac:dyDescent="0.3">
      <c r="A57" s="11">
        <v>27</v>
      </c>
      <c r="B57" s="12" t="s">
        <v>136</v>
      </c>
      <c r="C57" s="13"/>
      <c r="D57" s="22">
        <v>2400</v>
      </c>
      <c r="E57" s="15" t="s">
        <v>137</v>
      </c>
    </row>
    <row r="58" spans="1:5" ht="27" x14ac:dyDescent="0.3">
      <c r="A58" s="11">
        <v>28</v>
      </c>
      <c r="B58" s="12" t="s">
        <v>138</v>
      </c>
      <c r="C58" s="13"/>
      <c r="D58" s="22">
        <v>430</v>
      </c>
      <c r="E58" s="15" t="s">
        <v>137</v>
      </c>
    </row>
    <row r="59" spans="1:5" ht="27" x14ac:dyDescent="0.3">
      <c r="A59" s="11">
        <v>29</v>
      </c>
      <c r="B59" s="12" t="s">
        <v>139</v>
      </c>
      <c r="C59" s="13"/>
      <c r="D59" s="22">
        <v>1500</v>
      </c>
      <c r="E59" s="15" t="s">
        <v>137</v>
      </c>
    </row>
    <row r="60" spans="1:5" ht="26.4" x14ac:dyDescent="0.3">
      <c r="A60" s="11">
        <v>30</v>
      </c>
      <c r="B60" s="67" t="s">
        <v>168</v>
      </c>
      <c r="C60" s="13" t="s">
        <v>169</v>
      </c>
      <c r="D60" s="16" t="s">
        <v>170</v>
      </c>
      <c r="E60" s="15"/>
    </row>
  </sheetData>
  <mergeCells count="60">
    <mergeCell ref="A36:A40"/>
    <mergeCell ref="B36:B40"/>
    <mergeCell ref="C36:C40"/>
    <mergeCell ref="D36:D40"/>
    <mergeCell ref="E36:E40"/>
    <mergeCell ref="A41:A42"/>
    <mergeCell ref="B41:B42"/>
    <mergeCell ref="C41:C42"/>
    <mergeCell ref="D41:D42"/>
    <mergeCell ref="E41:E42"/>
    <mergeCell ref="A29:A31"/>
    <mergeCell ref="B29:B31"/>
    <mergeCell ref="C29:C31"/>
    <mergeCell ref="D29:D31"/>
    <mergeCell ref="E29:E31"/>
    <mergeCell ref="A32:A35"/>
    <mergeCell ref="B32:B35"/>
    <mergeCell ref="C32:C35"/>
    <mergeCell ref="D32:D35"/>
    <mergeCell ref="E32:E35"/>
    <mergeCell ref="A22:A25"/>
    <mergeCell ref="B22:B25"/>
    <mergeCell ref="C22:C25"/>
    <mergeCell ref="D22:D25"/>
    <mergeCell ref="E22:E25"/>
    <mergeCell ref="A26:A28"/>
    <mergeCell ref="B26:B28"/>
    <mergeCell ref="C26:C28"/>
    <mergeCell ref="D26:D28"/>
    <mergeCell ref="E26:E28"/>
    <mergeCell ref="A15:A17"/>
    <mergeCell ref="B15:B17"/>
    <mergeCell ref="C15:C17"/>
    <mergeCell ref="D15:D17"/>
    <mergeCell ref="E15:E17"/>
    <mergeCell ref="A18:A21"/>
    <mergeCell ref="B18:B21"/>
    <mergeCell ref="C18:C21"/>
    <mergeCell ref="D18:D21"/>
    <mergeCell ref="E18:E21"/>
    <mergeCell ref="A8:A10"/>
    <mergeCell ref="B8:B10"/>
    <mergeCell ref="C8:C10"/>
    <mergeCell ref="D8:D10"/>
    <mergeCell ref="E8:E10"/>
    <mergeCell ref="A11:A14"/>
    <mergeCell ref="B11:B14"/>
    <mergeCell ref="C11:C14"/>
    <mergeCell ref="D11:D14"/>
    <mergeCell ref="E11:E14"/>
    <mergeCell ref="A2:A4"/>
    <mergeCell ref="B2:B4"/>
    <mergeCell ref="C2:C4"/>
    <mergeCell ref="D2:D4"/>
    <mergeCell ref="E2:E4"/>
    <mergeCell ref="A5:A7"/>
    <mergeCell ref="B5:B7"/>
    <mergeCell ref="C5:C7"/>
    <mergeCell ref="D5:D7"/>
    <mergeCell ref="E5:E7"/>
  </mergeCells>
  <hyperlinks>
    <hyperlink ref="E44" r:id="rId1" xr:uid="{05CF8EC6-E77B-419A-B3E2-9A1DE178EB48}"/>
    <hyperlink ref="E45" r:id="rId2" xr:uid="{3FC81A7E-ECA8-481D-8452-C8B7634C93DB}"/>
    <hyperlink ref="E55" r:id="rId3" display="https://semastudio.pl/cennik-filmow/" xr:uid="{21B77F2A-BDC5-4BB9-A146-B52A329C9414}"/>
    <hyperlink ref="E57" r:id="rId4" xr:uid="{CEC99B34-F178-409A-942B-C41319330B13}"/>
    <hyperlink ref="E58:E60" r:id="rId5" display="https://www.funduszeeuropejskie.gov.pl/media/98256/Zal_3_.pdf (taryfikator 4.1 POWER 2021)" xr:uid="{2F1DF90F-12E1-4FCA-8FC3-6D1D1EDF577F}"/>
    <hyperlink ref="E43" r:id="rId6" display="https://zarobki.pracuj.pl/stanowiska/it-rozwoj-oprogramowania/tester-oprogramowania-ekspert" xr:uid="{5B71EF58-850D-477F-8324-ABE02B9292DE}"/>
  </hyperlinks>
  <pageMargins left="0.25" right="0.25" top="0.75" bottom="0.75" header="0.3" footer="0.3"/>
  <pageSetup paperSize="9" scale="48" fitToHeight="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2D24-B5A4-4618-83A8-49725E401EE1}">
  <sheetPr codeName="Arkusz1">
    <tabColor theme="9" tint="0.39997558519241921"/>
  </sheetPr>
  <dimension ref="B2:J146"/>
  <sheetViews>
    <sheetView zoomScale="70" zoomScaleNormal="70" workbookViewId="0">
      <selection activeCell="F8" sqref="F8"/>
    </sheetView>
  </sheetViews>
  <sheetFormatPr defaultColWidth="30.88671875" defaultRowHeight="14.4" x14ac:dyDescent="0.3"/>
  <cols>
    <col min="1" max="1" width="5.5546875" style="3" customWidth="1"/>
    <col min="2" max="2" width="12.5546875" style="3" customWidth="1"/>
    <col min="3" max="3" width="112.5546875" style="3" customWidth="1"/>
    <col min="4" max="4" width="19.5546875" style="3" customWidth="1"/>
    <col min="5" max="5" width="18.88671875" style="3" customWidth="1"/>
    <col min="6" max="6" width="20.33203125" style="3" customWidth="1"/>
    <col min="7" max="7" width="19.88671875" style="3" customWidth="1"/>
    <col min="8" max="8" width="17.6640625" style="3" bestFit="1" customWidth="1"/>
    <col min="9" max="9" width="121.6640625" style="123" customWidth="1"/>
    <col min="10" max="10" width="5" style="3" customWidth="1"/>
    <col min="11" max="16384" width="30.88671875" style="3"/>
  </cols>
  <sheetData>
    <row r="2" spans="2:9" ht="15" thickBot="1" x14ac:dyDescent="0.35"/>
    <row r="3" spans="2:9" x14ac:dyDescent="0.3">
      <c r="B3" s="199" t="s">
        <v>179</v>
      </c>
      <c r="C3" s="200"/>
      <c r="D3" s="200"/>
      <c r="E3" s="200"/>
      <c r="F3" s="201"/>
    </row>
    <row r="4" spans="2:9" x14ac:dyDescent="0.3">
      <c r="B4" s="31" t="s">
        <v>21</v>
      </c>
      <c r="C4" s="122" t="s">
        <v>1</v>
      </c>
      <c r="D4" s="72" t="s">
        <v>15</v>
      </c>
      <c r="E4" s="72" t="s">
        <v>31</v>
      </c>
      <c r="F4" s="32" t="s">
        <v>32</v>
      </c>
    </row>
    <row r="5" spans="2:9" x14ac:dyDescent="0.3">
      <c r="B5" s="29" t="str">
        <f>IF(C5&lt;&gt;"","1."&amp;1,"")</f>
        <v/>
      </c>
      <c r="C5" s="84"/>
      <c r="D5" s="33" t="str">
        <f>IF(C5&lt;&gt;"",SUM('Etap 1 - prototyp'!H20:H29),"")</f>
        <v/>
      </c>
      <c r="E5" s="151"/>
      <c r="F5" s="152"/>
    </row>
    <row r="6" spans="2:9" x14ac:dyDescent="0.3">
      <c r="B6" s="29" t="str">
        <f>IF(C6&lt;&gt;"","1."&amp;2,"")</f>
        <v/>
      </c>
      <c r="C6" s="102"/>
      <c r="D6" s="33" t="str">
        <f>IF(C6&lt;&gt;"",SUM('Etap 1 - prototyp'!H33:H42),"")</f>
        <v/>
      </c>
      <c r="E6" s="79"/>
      <c r="F6" s="80"/>
    </row>
    <row r="7" spans="2:9" x14ac:dyDescent="0.3">
      <c r="B7" s="29" t="str">
        <f>IF(C7&lt;&gt;"","1."&amp;3,"")</f>
        <v/>
      </c>
      <c r="C7" s="84"/>
      <c r="D7" s="33" t="str">
        <f>IF(C7&lt;&gt;"",SUM('Etap 1 - prototyp'!H46:H55),"")</f>
        <v/>
      </c>
      <c r="E7" s="79"/>
      <c r="F7" s="80"/>
    </row>
    <row r="8" spans="2:9" x14ac:dyDescent="0.3">
      <c r="B8" s="29" t="str">
        <f>IF(C8&lt;&gt;"","1."&amp;4,"")</f>
        <v/>
      </c>
      <c r="C8" s="102"/>
      <c r="D8" s="33" t="str">
        <f>IF(C8&lt;&gt;"",SUM('Etap 1 - prototyp'!H59:H68),"")</f>
        <v/>
      </c>
      <c r="E8" s="79"/>
      <c r="F8" s="80"/>
    </row>
    <row r="9" spans="2:9" x14ac:dyDescent="0.3">
      <c r="B9" s="29" t="str">
        <f>IF(C9&lt;&gt;"","1."&amp;5,"")</f>
        <v/>
      </c>
      <c r="C9" s="84"/>
      <c r="D9" s="33" t="str">
        <f>IF(C9&lt;&gt;"",SUM('Etap 1 - prototyp'!H72:H81),"")</f>
        <v/>
      </c>
      <c r="E9" s="79"/>
      <c r="F9" s="80"/>
    </row>
    <row r="10" spans="2:9" x14ac:dyDescent="0.3">
      <c r="B10" s="29" t="str">
        <f>IF(C10&lt;&gt;"","1."&amp;6,"")</f>
        <v/>
      </c>
      <c r="C10" s="102"/>
      <c r="D10" s="33" t="str">
        <f>IF(C10&lt;&gt;"",SUM('Etap 1 - prototyp'!H85:H94),"")</f>
        <v/>
      </c>
      <c r="E10" s="79"/>
      <c r="F10" s="80"/>
    </row>
    <row r="11" spans="2:9" x14ac:dyDescent="0.3">
      <c r="B11" s="29" t="str">
        <f>IF(C11&lt;&gt;"","1."&amp;7,"")</f>
        <v/>
      </c>
      <c r="C11" s="84"/>
      <c r="D11" s="33" t="str">
        <f>IF(C11&lt;&gt;"",SUM('Etap 1 - prototyp'!H98:H107),"")</f>
        <v/>
      </c>
      <c r="E11" s="79"/>
      <c r="F11" s="80"/>
    </row>
    <row r="12" spans="2:9" x14ac:dyDescent="0.3">
      <c r="B12" s="29" t="str">
        <f>IF(C12&lt;&gt;"","1."&amp;8,"")</f>
        <v/>
      </c>
      <c r="C12" s="102"/>
      <c r="D12" s="33" t="str">
        <f>IF(C12&lt;&gt;"",SUM('Etap 1 - prototyp'!H111:H120),"")</f>
        <v/>
      </c>
      <c r="E12" s="79"/>
      <c r="F12" s="80"/>
    </row>
    <row r="13" spans="2:9" x14ac:dyDescent="0.3">
      <c r="B13" s="29" t="str">
        <f>IF(C13&lt;&gt;"","1."&amp;9,"")</f>
        <v/>
      </c>
      <c r="C13" s="84"/>
      <c r="D13" s="33" t="str">
        <f>IF(C13&lt;&gt;"",SUM('Etap 1 - prototyp'!H124:H133),"")</f>
        <v/>
      </c>
      <c r="E13" s="79"/>
      <c r="F13" s="80"/>
    </row>
    <row r="14" spans="2:9" ht="15" thickBot="1" x14ac:dyDescent="0.35">
      <c r="B14" s="30" t="str">
        <f>IF(C14&lt;&gt;"","1."&amp;10,"")</f>
        <v/>
      </c>
      <c r="C14" s="103"/>
      <c r="D14" s="34" t="str">
        <f>IF(C14&lt;&gt;"",SUM('Etap 1 - prototyp'!H137:H146),"")</f>
        <v/>
      </c>
      <c r="E14" s="81"/>
      <c r="F14" s="82"/>
    </row>
    <row r="15" spans="2:9" ht="15" thickBot="1" x14ac:dyDescent="0.35"/>
    <row r="16" spans="2:9" ht="26.4" thickBot="1" x14ac:dyDescent="0.55000000000000004">
      <c r="B16" s="205" t="s">
        <v>17</v>
      </c>
      <c r="C16" s="206"/>
      <c r="D16" s="206"/>
      <c r="E16" s="206"/>
      <c r="F16" s="206"/>
      <c r="G16" s="206"/>
      <c r="H16" s="206"/>
      <c r="I16" s="207"/>
    </row>
    <row r="17" spans="2:10" ht="15" thickBot="1" x14ac:dyDescent="0.35"/>
    <row r="18" spans="2:10" ht="18.600000000000001" thickBot="1" x14ac:dyDescent="0.4">
      <c r="B18" s="202" t="str">
        <f>IF('Etap 1 - prototyp'!$C$5&lt;&gt;"",B5&amp;": "&amp;  'Etap 1 - prototyp'!$C$5,"")</f>
        <v/>
      </c>
      <c r="C18" s="203"/>
      <c r="D18" s="203"/>
      <c r="E18" s="203"/>
      <c r="F18" s="203"/>
      <c r="G18" s="203"/>
      <c r="H18" s="203"/>
      <c r="I18" s="204"/>
      <c r="J18" s="4"/>
    </row>
    <row r="19" spans="2:10" x14ac:dyDescent="0.3">
      <c r="B19" s="27" t="s">
        <v>0</v>
      </c>
      <c r="C19" s="28" t="s">
        <v>14</v>
      </c>
      <c r="D19" s="28" t="s">
        <v>2</v>
      </c>
      <c r="E19" s="28" t="s">
        <v>3</v>
      </c>
      <c r="F19" s="28" t="s">
        <v>13</v>
      </c>
      <c r="G19" s="28" t="s">
        <v>4</v>
      </c>
      <c r="H19" s="28" t="s">
        <v>5</v>
      </c>
      <c r="I19" s="124" t="s">
        <v>6</v>
      </c>
      <c r="J19" s="4"/>
    </row>
    <row r="20" spans="2:10" x14ac:dyDescent="0.3">
      <c r="B20" s="107" t="str">
        <f>IF(C20&lt;&gt;"","1.1.1","")</f>
        <v/>
      </c>
      <c r="C20" s="153"/>
      <c r="D20" s="84"/>
      <c r="E20" s="84"/>
      <c r="F20" s="154"/>
      <c r="G20" s="154"/>
      <c r="H20" s="33" t="str">
        <f>IF(F20&lt;&gt;"",F20*G20,"")</f>
        <v/>
      </c>
      <c r="I20" s="155"/>
      <c r="J20" s="5"/>
    </row>
    <row r="21" spans="2:10" x14ac:dyDescent="0.3">
      <c r="B21" s="107" t="str">
        <f>IF(C21&lt;&gt;"","1.1.2","")</f>
        <v/>
      </c>
      <c r="C21" s="153"/>
      <c r="D21" s="84"/>
      <c r="E21" s="84"/>
      <c r="F21" s="154"/>
      <c r="G21" s="154"/>
      <c r="H21" s="33" t="str">
        <f t="shared" ref="H21:H29" si="0">IF(F21&lt;&gt;"",F21*G21,"")</f>
        <v/>
      </c>
      <c r="I21" s="155"/>
      <c r="J21" s="5"/>
    </row>
    <row r="22" spans="2:10" x14ac:dyDescent="0.3">
      <c r="B22" s="107" t="str">
        <f>IF(C22&lt;&gt;"","1.1.3","")</f>
        <v/>
      </c>
      <c r="C22" s="83"/>
      <c r="D22" s="84"/>
      <c r="E22" s="84"/>
      <c r="F22" s="84"/>
      <c r="G22" s="84"/>
      <c r="H22" s="33" t="str">
        <f t="shared" si="0"/>
        <v/>
      </c>
      <c r="I22" s="86"/>
      <c r="J22" s="5"/>
    </row>
    <row r="23" spans="2:10" x14ac:dyDescent="0.3">
      <c r="B23" s="107" t="str">
        <f>IF(C23&lt;&gt;"","1.1.4","")</f>
        <v/>
      </c>
      <c r="C23" s="83"/>
      <c r="D23" s="84"/>
      <c r="E23" s="84"/>
      <c r="F23" s="84"/>
      <c r="G23" s="84"/>
      <c r="H23" s="33" t="str">
        <f t="shared" si="0"/>
        <v/>
      </c>
      <c r="I23" s="86"/>
      <c r="J23" s="5"/>
    </row>
    <row r="24" spans="2:10" x14ac:dyDescent="0.3">
      <c r="B24" s="107" t="str">
        <f>IF(C24&lt;&gt;"","1.1.5","")</f>
        <v/>
      </c>
      <c r="C24" s="84"/>
      <c r="D24" s="84"/>
      <c r="E24" s="84"/>
      <c r="F24" s="84"/>
      <c r="G24" s="84"/>
      <c r="H24" s="33" t="str">
        <f t="shared" si="0"/>
        <v/>
      </c>
      <c r="I24" s="86"/>
      <c r="J24" s="5"/>
    </row>
    <row r="25" spans="2:10" x14ac:dyDescent="0.3">
      <c r="B25" s="107" t="str">
        <f>IF(C25&lt;&gt;"","1.1.6","")</f>
        <v/>
      </c>
      <c r="C25" s="84"/>
      <c r="D25" s="84"/>
      <c r="E25" s="84"/>
      <c r="F25" s="84"/>
      <c r="G25" s="84"/>
      <c r="H25" s="33" t="str">
        <f t="shared" si="0"/>
        <v/>
      </c>
      <c r="I25" s="86"/>
      <c r="J25" s="5"/>
    </row>
    <row r="26" spans="2:10" x14ac:dyDescent="0.3">
      <c r="B26" s="107" t="str">
        <f>IF(C26&lt;&gt;"","1.1.7","")</f>
        <v/>
      </c>
      <c r="C26" s="84"/>
      <c r="D26" s="84"/>
      <c r="E26" s="84"/>
      <c r="F26" s="84"/>
      <c r="G26" s="84"/>
      <c r="H26" s="33" t="str">
        <f t="shared" si="0"/>
        <v/>
      </c>
      <c r="I26" s="86"/>
      <c r="J26" s="5"/>
    </row>
    <row r="27" spans="2:10" x14ac:dyDescent="0.3">
      <c r="B27" s="107" t="str">
        <f>IF(C27&lt;&gt;"","1.1.8","")</f>
        <v/>
      </c>
      <c r="C27" s="84"/>
      <c r="D27" s="84"/>
      <c r="E27" s="84"/>
      <c r="F27" s="84"/>
      <c r="G27" s="84"/>
      <c r="H27" s="33" t="str">
        <f t="shared" si="0"/>
        <v/>
      </c>
      <c r="I27" s="86"/>
      <c r="J27" s="5"/>
    </row>
    <row r="28" spans="2:10" x14ac:dyDescent="0.3">
      <c r="B28" s="107" t="str">
        <f>IF(C28&lt;&gt;"","1.1.9","")</f>
        <v/>
      </c>
      <c r="C28" s="84"/>
      <c r="D28" s="84"/>
      <c r="E28" s="84"/>
      <c r="F28" s="84"/>
      <c r="G28" s="84"/>
      <c r="H28" s="33" t="str">
        <f t="shared" si="0"/>
        <v/>
      </c>
      <c r="I28" s="86"/>
      <c r="J28" s="5"/>
    </row>
    <row r="29" spans="2:10" ht="15" thickBot="1" x14ac:dyDescent="0.35">
      <c r="B29" s="108" t="str">
        <f>IF(C29&lt;&gt;"","1.1.10","")</f>
        <v/>
      </c>
      <c r="C29" s="85"/>
      <c r="D29" s="85"/>
      <c r="E29" s="85"/>
      <c r="F29" s="85"/>
      <c r="G29" s="85"/>
      <c r="H29" s="34" t="str">
        <f t="shared" si="0"/>
        <v/>
      </c>
      <c r="I29" s="92"/>
      <c r="J29" s="5"/>
    </row>
    <row r="30" spans="2:10" ht="15" thickBot="1" x14ac:dyDescent="0.35">
      <c r="B30" s="5"/>
      <c r="C30" s="5"/>
      <c r="D30" s="5"/>
      <c r="E30" s="5"/>
      <c r="F30" s="5"/>
      <c r="G30" s="5"/>
      <c r="H30" s="5"/>
      <c r="I30" s="117"/>
      <c r="J30" s="5"/>
    </row>
    <row r="31" spans="2:10" ht="18.600000000000001" thickBot="1" x14ac:dyDescent="0.4">
      <c r="B31" s="208" t="str">
        <f>IF('Etap 1 - prototyp'!$C$6&lt;&gt;"", B6&amp;": "&amp;  'Etap 1 - prototyp'!$C$6,"")</f>
        <v/>
      </c>
      <c r="C31" s="209"/>
      <c r="D31" s="209"/>
      <c r="E31" s="209"/>
      <c r="F31" s="209"/>
      <c r="G31" s="209"/>
      <c r="H31" s="209"/>
      <c r="I31" s="210"/>
      <c r="J31" s="5"/>
    </row>
    <row r="32" spans="2:10" x14ac:dyDescent="0.3">
      <c r="B32" s="27" t="s">
        <v>0</v>
      </c>
      <c r="C32" s="28" t="s">
        <v>14</v>
      </c>
      <c r="D32" s="28" t="s">
        <v>2</v>
      </c>
      <c r="E32" s="28" t="s">
        <v>3</v>
      </c>
      <c r="F32" s="28" t="s">
        <v>13</v>
      </c>
      <c r="G32" s="28" t="s">
        <v>4</v>
      </c>
      <c r="H32" s="28" t="s">
        <v>5</v>
      </c>
      <c r="I32" s="124" t="s">
        <v>6</v>
      </c>
      <c r="J32" s="5"/>
    </row>
    <row r="33" spans="2:10" x14ac:dyDescent="0.3">
      <c r="B33" s="29" t="str">
        <f>IF(C33&lt;&gt;"","1.2.1","")</f>
        <v/>
      </c>
      <c r="C33" s="84"/>
      <c r="D33" s="84"/>
      <c r="E33" s="84"/>
      <c r="F33" s="84"/>
      <c r="G33" s="84"/>
      <c r="H33" s="33" t="str">
        <f>IF(F33&lt;&gt;"",F33*G33,"")</f>
        <v/>
      </c>
      <c r="I33" s="86"/>
      <c r="J33" s="5"/>
    </row>
    <row r="34" spans="2:10" x14ac:dyDescent="0.3">
      <c r="B34" s="29" t="str">
        <f>IF(C34&lt;&gt;"","1.2.2","")</f>
        <v/>
      </c>
      <c r="C34" s="83"/>
      <c r="D34" s="84"/>
      <c r="E34" s="84"/>
      <c r="F34" s="84"/>
      <c r="G34" s="84"/>
      <c r="H34" s="33" t="str">
        <f t="shared" ref="H34:H41" si="1">IF(F34&lt;&gt;"",F34*G34,"")</f>
        <v/>
      </c>
      <c r="I34" s="86"/>
      <c r="J34" s="5"/>
    </row>
    <row r="35" spans="2:10" x14ac:dyDescent="0.3">
      <c r="B35" s="29" t="str">
        <f>IF(C35&lt;&gt;"","1.2.3","")</f>
        <v/>
      </c>
      <c r="C35" s="83"/>
      <c r="D35" s="84"/>
      <c r="E35" s="84"/>
      <c r="F35" s="84"/>
      <c r="G35" s="84"/>
      <c r="H35" s="33" t="str">
        <f t="shared" si="1"/>
        <v/>
      </c>
      <c r="I35" s="86"/>
      <c r="J35" s="5"/>
    </row>
    <row r="36" spans="2:10" x14ac:dyDescent="0.3">
      <c r="B36" s="29" t="str">
        <f>IF(C36&lt;&gt;"","1.2.4","")</f>
        <v/>
      </c>
      <c r="C36" s="84"/>
      <c r="D36" s="84"/>
      <c r="E36" s="84"/>
      <c r="F36" s="84"/>
      <c r="G36" s="84"/>
      <c r="H36" s="33" t="str">
        <f t="shared" si="1"/>
        <v/>
      </c>
      <c r="I36" s="86"/>
      <c r="J36" s="5"/>
    </row>
    <row r="37" spans="2:10" x14ac:dyDescent="0.3">
      <c r="B37" s="29" t="str">
        <f>IF(C37&lt;&gt;"","1.2.5","")</f>
        <v/>
      </c>
      <c r="C37" s="84"/>
      <c r="D37" s="84"/>
      <c r="E37" s="84"/>
      <c r="F37" s="84"/>
      <c r="G37" s="84"/>
      <c r="H37" s="33" t="str">
        <f t="shared" si="1"/>
        <v/>
      </c>
      <c r="I37" s="86"/>
      <c r="J37" s="5"/>
    </row>
    <row r="38" spans="2:10" x14ac:dyDescent="0.3">
      <c r="B38" s="29" t="str">
        <f>IF(C38&lt;&gt;"","1.2.6","")</f>
        <v/>
      </c>
      <c r="C38" s="84"/>
      <c r="D38" s="84"/>
      <c r="E38" s="84"/>
      <c r="F38" s="84"/>
      <c r="G38" s="84"/>
      <c r="H38" s="33" t="str">
        <f t="shared" si="1"/>
        <v/>
      </c>
      <c r="I38" s="86"/>
      <c r="J38" s="5"/>
    </row>
    <row r="39" spans="2:10" x14ac:dyDescent="0.3">
      <c r="B39" s="29" t="str">
        <f>IF(C39&lt;&gt;"","1.2.7","")</f>
        <v/>
      </c>
      <c r="C39" s="84"/>
      <c r="D39" s="84"/>
      <c r="E39" s="84"/>
      <c r="F39" s="84"/>
      <c r="G39" s="84"/>
      <c r="H39" s="33" t="str">
        <f t="shared" si="1"/>
        <v/>
      </c>
      <c r="I39" s="86"/>
      <c r="J39" s="5"/>
    </row>
    <row r="40" spans="2:10" x14ac:dyDescent="0.3">
      <c r="B40" s="29" t="str">
        <f>IF(C40&lt;&gt;"","1.2.8","")</f>
        <v/>
      </c>
      <c r="C40" s="84"/>
      <c r="D40" s="84"/>
      <c r="E40" s="84"/>
      <c r="F40" s="84"/>
      <c r="G40" s="84"/>
      <c r="H40" s="33" t="str">
        <f t="shared" si="1"/>
        <v/>
      </c>
      <c r="I40" s="86"/>
      <c r="J40" s="5"/>
    </row>
    <row r="41" spans="2:10" x14ac:dyDescent="0.3">
      <c r="B41" s="29" t="str">
        <f>IF(C41&lt;&gt;"","1.2.9","")</f>
        <v/>
      </c>
      <c r="C41" s="84"/>
      <c r="D41" s="84"/>
      <c r="E41" s="84"/>
      <c r="F41" s="84"/>
      <c r="G41" s="84"/>
      <c r="H41" s="33" t="str">
        <f t="shared" si="1"/>
        <v/>
      </c>
      <c r="I41" s="86"/>
      <c r="J41" s="5"/>
    </row>
    <row r="42" spans="2:10" ht="15" thickBot="1" x14ac:dyDescent="0.35">
      <c r="B42" s="30" t="str">
        <f>IF(C42&lt;&gt;"","1.2.10","")</f>
        <v/>
      </c>
      <c r="C42" s="85"/>
      <c r="D42" s="85"/>
      <c r="E42" s="85"/>
      <c r="F42" s="85"/>
      <c r="G42" s="85"/>
      <c r="H42" s="34" t="str">
        <f>IF(F42&lt;&gt;"",F42*G42,"")</f>
        <v/>
      </c>
      <c r="I42" s="92"/>
      <c r="J42" s="5"/>
    </row>
    <row r="43" spans="2:10" ht="15" thickBot="1" x14ac:dyDescent="0.35">
      <c r="B43" s="5"/>
      <c r="C43" s="5"/>
      <c r="D43" s="5"/>
      <c r="E43" s="5"/>
      <c r="F43" s="5"/>
      <c r="G43" s="5"/>
      <c r="H43" s="5"/>
      <c r="I43" s="117"/>
      <c r="J43" s="5"/>
    </row>
    <row r="44" spans="2:10" ht="18.600000000000001" thickBot="1" x14ac:dyDescent="0.4">
      <c r="B44" s="202" t="str">
        <f>IF('Etap 1 - prototyp'!$C$7&lt;&gt;"", B7&amp;": "&amp;  'Etap 1 - prototyp'!$C$7,"")</f>
        <v/>
      </c>
      <c r="C44" s="203"/>
      <c r="D44" s="203"/>
      <c r="E44" s="203"/>
      <c r="F44" s="203"/>
      <c r="G44" s="203"/>
      <c r="H44" s="203"/>
      <c r="I44" s="204"/>
      <c r="J44" s="5"/>
    </row>
    <row r="45" spans="2:10" x14ac:dyDescent="0.3">
      <c r="B45" s="27" t="s">
        <v>0</v>
      </c>
      <c r="C45" s="28" t="s">
        <v>14</v>
      </c>
      <c r="D45" s="28" t="s">
        <v>2</v>
      </c>
      <c r="E45" s="28" t="s">
        <v>3</v>
      </c>
      <c r="F45" s="28" t="s">
        <v>13</v>
      </c>
      <c r="G45" s="28" t="s">
        <v>4</v>
      </c>
      <c r="H45" s="28" t="s">
        <v>5</v>
      </c>
      <c r="I45" s="124" t="s">
        <v>6</v>
      </c>
      <c r="J45" s="5"/>
    </row>
    <row r="46" spans="2:10" x14ac:dyDescent="0.3">
      <c r="B46" s="107" t="str">
        <f>IF(C46&lt;&gt;"","1.3.1","")</f>
        <v/>
      </c>
      <c r="C46" s="84"/>
      <c r="D46" s="84"/>
      <c r="E46" s="84"/>
      <c r="F46" s="84"/>
      <c r="G46" s="84"/>
      <c r="H46" s="33" t="str">
        <f>IF(C46&lt;&gt;"",F46*G46,"")</f>
        <v/>
      </c>
      <c r="I46" s="86"/>
      <c r="J46" s="5"/>
    </row>
    <row r="47" spans="2:10" x14ac:dyDescent="0.3">
      <c r="B47" s="107" t="str">
        <f>IF(C47&lt;&gt;"","1.3.2","")</f>
        <v/>
      </c>
      <c r="C47" s="84"/>
      <c r="D47" s="84"/>
      <c r="E47" s="84"/>
      <c r="F47" s="84"/>
      <c r="G47" s="84"/>
      <c r="H47" s="33" t="str">
        <f t="shared" ref="H47:H54" si="2">IF(C47&lt;&gt;"",F47*G47,"")</f>
        <v/>
      </c>
      <c r="I47" s="86"/>
      <c r="J47" s="5"/>
    </row>
    <row r="48" spans="2:10" x14ac:dyDescent="0.3">
      <c r="B48" s="107" t="str">
        <f>IF(C48&lt;&gt;"","1.3.3","")</f>
        <v/>
      </c>
      <c r="C48" s="84"/>
      <c r="D48" s="84"/>
      <c r="E48" s="84"/>
      <c r="F48" s="84"/>
      <c r="G48" s="84"/>
      <c r="H48" s="33" t="str">
        <f t="shared" si="2"/>
        <v/>
      </c>
      <c r="I48" s="86"/>
      <c r="J48" s="5"/>
    </row>
    <row r="49" spans="2:10" x14ac:dyDescent="0.3">
      <c r="B49" s="107" t="str">
        <f>IF(C49&lt;&gt;"","1.3.4","")</f>
        <v/>
      </c>
      <c r="C49" s="84"/>
      <c r="D49" s="84"/>
      <c r="E49" s="84"/>
      <c r="F49" s="84"/>
      <c r="G49" s="84"/>
      <c r="H49" s="33" t="str">
        <f t="shared" si="2"/>
        <v/>
      </c>
      <c r="I49" s="86"/>
      <c r="J49" s="5"/>
    </row>
    <row r="50" spans="2:10" x14ac:dyDescent="0.3">
      <c r="B50" s="107" t="str">
        <f>IF(C50&lt;&gt;"","1.3.5","")</f>
        <v/>
      </c>
      <c r="C50" s="84"/>
      <c r="D50" s="84"/>
      <c r="E50" s="84"/>
      <c r="F50" s="84"/>
      <c r="G50" s="84"/>
      <c r="H50" s="33" t="str">
        <f t="shared" si="2"/>
        <v/>
      </c>
      <c r="I50" s="86"/>
      <c r="J50" s="5"/>
    </row>
    <row r="51" spans="2:10" x14ac:dyDescent="0.3">
      <c r="B51" s="107" t="str">
        <f>IF(C51&lt;&gt;"","1.3.6","")</f>
        <v/>
      </c>
      <c r="C51" s="84"/>
      <c r="D51" s="84"/>
      <c r="E51" s="84"/>
      <c r="F51" s="84"/>
      <c r="G51" s="84"/>
      <c r="H51" s="33" t="str">
        <f t="shared" si="2"/>
        <v/>
      </c>
      <c r="I51" s="86"/>
      <c r="J51" s="5"/>
    </row>
    <row r="52" spans="2:10" x14ac:dyDescent="0.3">
      <c r="B52" s="107" t="str">
        <f>IF(C52&lt;&gt;"","1.3.7","")</f>
        <v/>
      </c>
      <c r="C52" s="84"/>
      <c r="D52" s="84"/>
      <c r="E52" s="84"/>
      <c r="F52" s="84"/>
      <c r="G52" s="84"/>
      <c r="H52" s="33" t="str">
        <f t="shared" si="2"/>
        <v/>
      </c>
      <c r="I52" s="86"/>
      <c r="J52" s="5"/>
    </row>
    <row r="53" spans="2:10" x14ac:dyDescent="0.3">
      <c r="B53" s="107" t="str">
        <f>IF(C53&lt;&gt;"","1.3.8","")</f>
        <v/>
      </c>
      <c r="C53" s="84"/>
      <c r="D53" s="84"/>
      <c r="E53" s="84"/>
      <c r="F53" s="84"/>
      <c r="G53" s="84"/>
      <c r="H53" s="33" t="str">
        <f t="shared" si="2"/>
        <v/>
      </c>
      <c r="I53" s="86"/>
      <c r="J53" s="5"/>
    </row>
    <row r="54" spans="2:10" x14ac:dyDescent="0.3">
      <c r="B54" s="107" t="str">
        <f>IF(C54&lt;&gt;"","1.3.9","")</f>
        <v/>
      </c>
      <c r="C54" s="84"/>
      <c r="D54" s="84"/>
      <c r="E54" s="84"/>
      <c r="F54" s="84"/>
      <c r="G54" s="84"/>
      <c r="H54" s="33" t="str">
        <f t="shared" si="2"/>
        <v/>
      </c>
      <c r="I54" s="86"/>
      <c r="J54" s="5"/>
    </row>
    <row r="55" spans="2:10" ht="15" thickBot="1" x14ac:dyDescent="0.35">
      <c r="B55" s="108" t="str">
        <f>IF(C55&lt;&gt;"","1.3.10","")</f>
        <v/>
      </c>
      <c r="C55" s="85"/>
      <c r="D55" s="85"/>
      <c r="E55" s="85"/>
      <c r="F55" s="85"/>
      <c r="G55" s="85"/>
      <c r="H55" s="34" t="str">
        <f>IF(F55&lt;&gt;"",F55*G55,"")</f>
        <v/>
      </c>
      <c r="I55" s="92"/>
      <c r="J55" s="5"/>
    </row>
    <row r="56" spans="2:10" ht="15" thickBot="1" x14ac:dyDescent="0.35">
      <c r="B56" s="5"/>
      <c r="C56" s="5"/>
      <c r="D56" s="5"/>
      <c r="E56" s="5"/>
      <c r="F56" s="5"/>
      <c r="G56" s="5"/>
      <c r="H56" s="5"/>
      <c r="I56" s="117"/>
      <c r="J56" s="5"/>
    </row>
    <row r="57" spans="2:10" ht="18.600000000000001" thickBot="1" x14ac:dyDescent="0.4">
      <c r="B57" s="202" t="str">
        <f>IF('Etap 1 - prototyp'!$C$8&lt;&gt;"",B8&amp;": "&amp;  'Etap 1 - prototyp'!$C$8,"")</f>
        <v/>
      </c>
      <c r="C57" s="203"/>
      <c r="D57" s="203"/>
      <c r="E57" s="203"/>
      <c r="F57" s="203"/>
      <c r="G57" s="203"/>
      <c r="H57" s="203"/>
      <c r="I57" s="204"/>
      <c r="J57" s="5"/>
    </row>
    <row r="58" spans="2:10" x14ac:dyDescent="0.3">
      <c r="B58" s="27" t="s">
        <v>0</v>
      </c>
      <c r="C58" s="28" t="s">
        <v>14</v>
      </c>
      <c r="D58" s="28" t="s">
        <v>2</v>
      </c>
      <c r="E58" s="28" t="s">
        <v>3</v>
      </c>
      <c r="F58" s="28" t="s">
        <v>13</v>
      </c>
      <c r="G58" s="28" t="s">
        <v>4</v>
      </c>
      <c r="H58" s="28" t="s">
        <v>5</v>
      </c>
      <c r="I58" s="124" t="s">
        <v>6</v>
      </c>
      <c r="J58" s="5"/>
    </row>
    <row r="59" spans="2:10" x14ac:dyDescent="0.3">
      <c r="B59" s="107" t="str">
        <f>IF(C59&lt;&gt;"","1.4.1","")</f>
        <v/>
      </c>
      <c r="C59" s="84"/>
      <c r="D59" s="84"/>
      <c r="E59" s="84"/>
      <c r="F59" s="84"/>
      <c r="G59" s="84"/>
      <c r="H59" s="33" t="str">
        <f>IF(F59&lt;&gt;"",F59*G59,"")</f>
        <v/>
      </c>
      <c r="I59" s="86"/>
      <c r="J59" s="5"/>
    </row>
    <row r="60" spans="2:10" x14ac:dyDescent="0.3">
      <c r="B60" s="107" t="str">
        <f>IF(C60&lt;&gt;"","1.4.2","")</f>
        <v/>
      </c>
      <c r="C60" s="84"/>
      <c r="D60" s="84"/>
      <c r="E60" s="84"/>
      <c r="F60" s="84"/>
      <c r="G60" s="84"/>
      <c r="H60" s="33" t="str">
        <f t="shared" ref="H60:H67" si="3">IF(F60&lt;&gt;"",F60*G60,"")</f>
        <v/>
      </c>
      <c r="I60" s="86"/>
      <c r="J60" s="5"/>
    </row>
    <row r="61" spans="2:10" x14ac:dyDescent="0.3">
      <c r="B61" s="107" t="str">
        <f>IF(C61&lt;&gt;"","1.4.3","")</f>
        <v/>
      </c>
      <c r="C61" s="84"/>
      <c r="D61" s="84"/>
      <c r="E61" s="84"/>
      <c r="F61" s="84"/>
      <c r="G61" s="84"/>
      <c r="H61" s="33" t="str">
        <f t="shared" si="3"/>
        <v/>
      </c>
      <c r="I61" s="86"/>
      <c r="J61" s="5"/>
    </row>
    <row r="62" spans="2:10" x14ac:dyDescent="0.3">
      <c r="B62" s="107" t="str">
        <f>IF(C62&lt;&gt;"","1.4.4","")</f>
        <v/>
      </c>
      <c r="C62" s="84"/>
      <c r="D62" s="84"/>
      <c r="E62" s="84"/>
      <c r="F62" s="84"/>
      <c r="G62" s="84"/>
      <c r="H62" s="33" t="str">
        <f t="shared" si="3"/>
        <v/>
      </c>
      <c r="I62" s="86"/>
      <c r="J62" s="5"/>
    </row>
    <row r="63" spans="2:10" x14ac:dyDescent="0.3">
      <c r="B63" s="107" t="str">
        <f>IF(C63&lt;&gt;"","1.4.5","")</f>
        <v/>
      </c>
      <c r="C63" s="84"/>
      <c r="D63" s="84"/>
      <c r="E63" s="84"/>
      <c r="F63" s="84"/>
      <c r="G63" s="84"/>
      <c r="H63" s="33" t="str">
        <f t="shared" si="3"/>
        <v/>
      </c>
      <c r="I63" s="86"/>
      <c r="J63" s="5"/>
    </row>
    <row r="64" spans="2:10" x14ac:dyDescent="0.3">
      <c r="B64" s="107" t="str">
        <f>IF(C64&lt;&gt;"","1.4.6","")</f>
        <v/>
      </c>
      <c r="C64" s="84"/>
      <c r="D64" s="84"/>
      <c r="E64" s="84"/>
      <c r="F64" s="84"/>
      <c r="G64" s="84"/>
      <c r="H64" s="33" t="str">
        <f t="shared" si="3"/>
        <v/>
      </c>
      <c r="I64" s="86"/>
      <c r="J64" s="5"/>
    </row>
    <row r="65" spans="2:10" x14ac:dyDescent="0.3">
      <c r="B65" s="107" t="str">
        <f>IF(C65&lt;&gt;"","1.4.7","")</f>
        <v/>
      </c>
      <c r="C65" s="84"/>
      <c r="D65" s="84"/>
      <c r="E65" s="84"/>
      <c r="F65" s="84"/>
      <c r="G65" s="84"/>
      <c r="H65" s="33" t="str">
        <f t="shared" si="3"/>
        <v/>
      </c>
      <c r="I65" s="86"/>
      <c r="J65" s="5"/>
    </row>
    <row r="66" spans="2:10" x14ac:dyDescent="0.3">
      <c r="B66" s="107" t="str">
        <f>IF(C66&lt;&gt;"","1.4.8","")</f>
        <v/>
      </c>
      <c r="C66" s="84"/>
      <c r="D66" s="84"/>
      <c r="E66" s="84"/>
      <c r="F66" s="84"/>
      <c r="G66" s="84"/>
      <c r="H66" s="33" t="str">
        <f t="shared" si="3"/>
        <v/>
      </c>
      <c r="I66" s="86"/>
      <c r="J66" s="5"/>
    </row>
    <row r="67" spans="2:10" x14ac:dyDescent="0.3">
      <c r="B67" s="107" t="str">
        <f>IF(C67&lt;&gt;"","1.4.9","")</f>
        <v/>
      </c>
      <c r="C67" s="84"/>
      <c r="D67" s="84"/>
      <c r="E67" s="84"/>
      <c r="F67" s="84"/>
      <c r="G67" s="84"/>
      <c r="H67" s="33" t="str">
        <f t="shared" si="3"/>
        <v/>
      </c>
      <c r="I67" s="86"/>
      <c r="J67" s="5"/>
    </row>
    <row r="68" spans="2:10" ht="15" thickBot="1" x14ac:dyDescent="0.35">
      <c r="B68" s="108" t="str">
        <f>IF(C68&lt;&gt;"","1.4.10","")</f>
        <v/>
      </c>
      <c r="C68" s="85"/>
      <c r="D68" s="85"/>
      <c r="E68" s="85"/>
      <c r="F68" s="85"/>
      <c r="G68" s="85"/>
      <c r="H68" s="34" t="str">
        <f>IF(F68&lt;&gt;"",F68*G68,"")</f>
        <v/>
      </c>
      <c r="I68" s="92"/>
      <c r="J68" s="5"/>
    </row>
    <row r="69" spans="2:10" ht="15" thickBot="1" x14ac:dyDescent="0.35">
      <c r="B69" s="5"/>
      <c r="C69" s="5"/>
      <c r="D69" s="5"/>
      <c r="E69" s="5"/>
      <c r="F69" s="5"/>
      <c r="G69" s="5"/>
      <c r="H69" s="5"/>
      <c r="I69" s="117"/>
      <c r="J69" s="5"/>
    </row>
    <row r="70" spans="2:10" ht="18.600000000000001" thickBot="1" x14ac:dyDescent="0.4">
      <c r="B70" s="202" t="str">
        <f>IF('Etap 1 - prototyp'!$C$9&lt;&gt;"",B9&amp;": "&amp;  'Etap 1 - prototyp'!$C$9,"")</f>
        <v/>
      </c>
      <c r="C70" s="203"/>
      <c r="D70" s="203"/>
      <c r="E70" s="203"/>
      <c r="F70" s="203"/>
      <c r="G70" s="203"/>
      <c r="H70" s="203"/>
      <c r="I70" s="204"/>
      <c r="J70" s="5"/>
    </row>
    <row r="71" spans="2:10" x14ac:dyDescent="0.3">
      <c r="B71" s="27" t="s">
        <v>0</v>
      </c>
      <c r="C71" s="28" t="s">
        <v>14</v>
      </c>
      <c r="D71" s="28" t="s">
        <v>2</v>
      </c>
      <c r="E71" s="28" t="s">
        <v>3</v>
      </c>
      <c r="F71" s="28" t="s">
        <v>13</v>
      </c>
      <c r="G71" s="28" t="s">
        <v>4</v>
      </c>
      <c r="H71" s="28" t="s">
        <v>5</v>
      </c>
      <c r="I71" s="124" t="s">
        <v>6</v>
      </c>
      <c r="J71" s="5"/>
    </row>
    <row r="72" spans="2:10" x14ac:dyDescent="0.3">
      <c r="B72" s="107" t="str">
        <f>IF(C72&lt;&gt;"","1.5.1","")</f>
        <v/>
      </c>
      <c r="C72" s="84"/>
      <c r="D72" s="84"/>
      <c r="E72" s="84"/>
      <c r="F72" s="84"/>
      <c r="G72" s="84"/>
      <c r="H72" s="33" t="str">
        <f>IF(F72&lt;&gt;"",F72*G72,"")</f>
        <v/>
      </c>
      <c r="I72" s="86"/>
      <c r="J72" s="5"/>
    </row>
    <row r="73" spans="2:10" x14ac:dyDescent="0.3">
      <c r="B73" s="107" t="str">
        <f>IF(C73&lt;&gt;"","1.5.2","")</f>
        <v/>
      </c>
      <c r="C73" s="84"/>
      <c r="D73" s="84"/>
      <c r="E73" s="84"/>
      <c r="F73" s="84"/>
      <c r="G73" s="84"/>
      <c r="H73" s="33" t="str">
        <f t="shared" ref="H73:H80" si="4">IF(F73&lt;&gt;"",F73*G73,"")</f>
        <v/>
      </c>
      <c r="I73" s="86"/>
      <c r="J73" s="5"/>
    </row>
    <row r="74" spans="2:10" x14ac:dyDescent="0.3">
      <c r="B74" s="107" t="str">
        <f>IF(C74&lt;&gt;"","1.5.3","")</f>
        <v/>
      </c>
      <c r="C74" s="84"/>
      <c r="D74" s="84"/>
      <c r="E74" s="84"/>
      <c r="F74" s="84"/>
      <c r="G74" s="84"/>
      <c r="H74" s="33" t="str">
        <f t="shared" si="4"/>
        <v/>
      </c>
      <c r="I74" s="86"/>
      <c r="J74" s="5"/>
    </row>
    <row r="75" spans="2:10" x14ac:dyDescent="0.3">
      <c r="B75" s="107" t="str">
        <f>IF(C75&lt;&gt;"","1.5.4","")</f>
        <v/>
      </c>
      <c r="C75" s="84"/>
      <c r="D75" s="84"/>
      <c r="E75" s="84"/>
      <c r="F75" s="84"/>
      <c r="G75" s="84"/>
      <c r="H75" s="33" t="str">
        <f t="shared" si="4"/>
        <v/>
      </c>
      <c r="I75" s="86"/>
      <c r="J75" s="5"/>
    </row>
    <row r="76" spans="2:10" x14ac:dyDescent="0.3">
      <c r="B76" s="107" t="str">
        <f>IF(C76&lt;&gt;"","1.5.5","")</f>
        <v/>
      </c>
      <c r="C76" s="84"/>
      <c r="D76" s="84"/>
      <c r="E76" s="84"/>
      <c r="F76" s="84"/>
      <c r="G76" s="84"/>
      <c r="H76" s="33" t="str">
        <f t="shared" si="4"/>
        <v/>
      </c>
      <c r="I76" s="86"/>
      <c r="J76" s="5"/>
    </row>
    <row r="77" spans="2:10" x14ac:dyDescent="0.3">
      <c r="B77" s="107" t="str">
        <f>IF(C77&lt;&gt;"","1.5.6","")</f>
        <v/>
      </c>
      <c r="C77" s="84"/>
      <c r="D77" s="84"/>
      <c r="E77" s="84"/>
      <c r="F77" s="84"/>
      <c r="G77" s="84"/>
      <c r="H77" s="33" t="str">
        <f t="shared" si="4"/>
        <v/>
      </c>
      <c r="I77" s="86"/>
      <c r="J77" s="5"/>
    </row>
    <row r="78" spans="2:10" x14ac:dyDescent="0.3">
      <c r="B78" s="107" t="str">
        <f>IF(C78&lt;&gt;"","1.5.7","")</f>
        <v/>
      </c>
      <c r="C78" s="84"/>
      <c r="D78" s="84"/>
      <c r="E78" s="84"/>
      <c r="F78" s="84"/>
      <c r="G78" s="84"/>
      <c r="H78" s="33" t="str">
        <f t="shared" si="4"/>
        <v/>
      </c>
      <c r="I78" s="86"/>
      <c r="J78" s="5"/>
    </row>
    <row r="79" spans="2:10" x14ac:dyDescent="0.3">
      <c r="B79" s="107" t="str">
        <f>IF(C79&lt;&gt;"","1.5.8","")</f>
        <v/>
      </c>
      <c r="C79" s="84"/>
      <c r="D79" s="84"/>
      <c r="E79" s="84"/>
      <c r="F79" s="84"/>
      <c r="G79" s="84"/>
      <c r="H79" s="33" t="str">
        <f t="shared" si="4"/>
        <v/>
      </c>
      <c r="I79" s="86"/>
      <c r="J79" s="5"/>
    </row>
    <row r="80" spans="2:10" x14ac:dyDescent="0.3">
      <c r="B80" s="107" t="str">
        <f>IF(C80&lt;&gt;"","1.5.9","")</f>
        <v/>
      </c>
      <c r="C80" s="84"/>
      <c r="D80" s="84"/>
      <c r="E80" s="84"/>
      <c r="F80" s="84"/>
      <c r="G80" s="84"/>
      <c r="H80" s="33" t="str">
        <f t="shared" si="4"/>
        <v/>
      </c>
      <c r="I80" s="86"/>
      <c r="J80" s="5"/>
    </row>
    <row r="81" spans="2:10" ht="15" thickBot="1" x14ac:dyDescent="0.35">
      <c r="B81" s="108" t="str">
        <f>IF(C81&lt;&gt;"","1.5.10","")</f>
        <v/>
      </c>
      <c r="C81" s="85"/>
      <c r="D81" s="85"/>
      <c r="E81" s="85"/>
      <c r="F81" s="85"/>
      <c r="G81" s="85"/>
      <c r="H81" s="34" t="str">
        <f>IF(F81&lt;&gt;"",F81*G81,"")</f>
        <v/>
      </c>
      <c r="I81" s="92"/>
      <c r="J81" s="5"/>
    </row>
    <row r="82" spans="2:10" ht="15" thickBot="1" x14ac:dyDescent="0.35">
      <c r="B82" s="5"/>
      <c r="C82" s="5"/>
      <c r="D82" s="5"/>
      <c r="E82" s="5"/>
      <c r="F82" s="5"/>
      <c r="G82" s="5"/>
      <c r="H82" s="5"/>
      <c r="I82" s="117"/>
      <c r="J82" s="5"/>
    </row>
    <row r="83" spans="2:10" ht="18.600000000000001" thickBot="1" x14ac:dyDescent="0.4">
      <c r="B83" s="202" t="str">
        <f>IF('Etap 1 - prototyp'!$C$10&lt;&gt;"",B10&amp;": "&amp;  'Etap 1 - prototyp'!$C$10,"")</f>
        <v/>
      </c>
      <c r="C83" s="203"/>
      <c r="D83" s="203"/>
      <c r="E83" s="203"/>
      <c r="F83" s="203"/>
      <c r="G83" s="203"/>
      <c r="H83" s="203"/>
      <c r="I83" s="204"/>
      <c r="J83" s="5"/>
    </row>
    <row r="84" spans="2:10" x14ac:dyDescent="0.3">
      <c r="B84" s="27" t="s">
        <v>0</v>
      </c>
      <c r="C84" s="28" t="s">
        <v>14</v>
      </c>
      <c r="D84" s="28" t="s">
        <v>2</v>
      </c>
      <c r="E84" s="28" t="s">
        <v>3</v>
      </c>
      <c r="F84" s="28" t="s">
        <v>13</v>
      </c>
      <c r="G84" s="28" t="s">
        <v>4</v>
      </c>
      <c r="H84" s="28" t="s">
        <v>5</v>
      </c>
      <c r="I84" s="124" t="s">
        <v>6</v>
      </c>
      <c r="J84" s="5"/>
    </row>
    <row r="85" spans="2:10" x14ac:dyDescent="0.3">
      <c r="B85" s="107" t="str">
        <f>IF(C85&lt;&gt;"","1.6.1","")</f>
        <v/>
      </c>
      <c r="C85" s="84"/>
      <c r="D85" s="84"/>
      <c r="E85" s="84"/>
      <c r="F85" s="84"/>
      <c r="G85" s="84"/>
      <c r="H85" s="33" t="str">
        <f>IF(F85&lt;&gt;"",F85*G85,"")</f>
        <v/>
      </c>
      <c r="I85" s="86"/>
      <c r="J85" s="5"/>
    </row>
    <row r="86" spans="2:10" x14ac:dyDescent="0.3">
      <c r="B86" s="107" t="str">
        <f>IF(C86&lt;&gt;"","1.6.2","")</f>
        <v/>
      </c>
      <c r="C86" s="84"/>
      <c r="D86" s="84"/>
      <c r="E86" s="84"/>
      <c r="F86" s="84"/>
      <c r="G86" s="84"/>
      <c r="H86" s="33" t="str">
        <f t="shared" ref="H86:H93" si="5">IF(F86&lt;&gt;"",F86*G86,"")</f>
        <v/>
      </c>
      <c r="I86" s="86"/>
      <c r="J86" s="5"/>
    </row>
    <row r="87" spans="2:10" x14ac:dyDescent="0.3">
      <c r="B87" s="107" t="str">
        <f>IF(C87&lt;&gt;"","1.6.3","")</f>
        <v/>
      </c>
      <c r="C87" s="84"/>
      <c r="D87" s="84"/>
      <c r="E87" s="84"/>
      <c r="F87" s="84"/>
      <c r="G87" s="84"/>
      <c r="H87" s="33" t="str">
        <f t="shared" si="5"/>
        <v/>
      </c>
      <c r="I87" s="86"/>
      <c r="J87" s="5"/>
    </row>
    <row r="88" spans="2:10" x14ac:dyDescent="0.3">
      <c r="B88" s="107" t="str">
        <f>IF(C88&lt;&gt;"","1.6.4","")</f>
        <v/>
      </c>
      <c r="C88" s="84"/>
      <c r="D88" s="84"/>
      <c r="E88" s="84"/>
      <c r="F88" s="84"/>
      <c r="G88" s="84"/>
      <c r="H88" s="33" t="str">
        <f t="shared" si="5"/>
        <v/>
      </c>
      <c r="I88" s="86"/>
      <c r="J88" s="5"/>
    </row>
    <row r="89" spans="2:10" x14ac:dyDescent="0.3">
      <c r="B89" s="107" t="str">
        <f>IF(C89&lt;&gt;"","1.6.5","")</f>
        <v/>
      </c>
      <c r="C89" s="84"/>
      <c r="D89" s="84"/>
      <c r="E89" s="84"/>
      <c r="F89" s="84"/>
      <c r="G89" s="84"/>
      <c r="H89" s="33" t="str">
        <f t="shared" si="5"/>
        <v/>
      </c>
      <c r="I89" s="86"/>
      <c r="J89" s="5"/>
    </row>
    <row r="90" spans="2:10" x14ac:dyDescent="0.3">
      <c r="B90" s="107" t="str">
        <f>IF(C90&lt;&gt;"","1.6.6","")</f>
        <v/>
      </c>
      <c r="C90" s="84"/>
      <c r="D90" s="84"/>
      <c r="E90" s="84"/>
      <c r="F90" s="84"/>
      <c r="G90" s="84"/>
      <c r="H90" s="33" t="str">
        <f t="shared" si="5"/>
        <v/>
      </c>
      <c r="I90" s="86"/>
      <c r="J90" s="5"/>
    </row>
    <row r="91" spans="2:10" x14ac:dyDescent="0.3">
      <c r="B91" s="107" t="str">
        <f>IF(C91&lt;&gt;"","1.6.7","")</f>
        <v/>
      </c>
      <c r="C91" s="84"/>
      <c r="D91" s="84"/>
      <c r="E91" s="84"/>
      <c r="F91" s="84"/>
      <c r="G91" s="84"/>
      <c r="H91" s="33" t="str">
        <f t="shared" si="5"/>
        <v/>
      </c>
      <c r="I91" s="86"/>
      <c r="J91" s="5"/>
    </row>
    <row r="92" spans="2:10" x14ac:dyDescent="0.3">
      <c r="B92" s="107" t="str">
        <f>IF(C92&lt;&gt;"","1.6.8","")</f>
        <v/>
      </c>
      <c r="C92" s="84"/>
      <c r="D92" s="84"/>
      <c r="E92" s="84"/>
      <c r="F92" s="84"/>
      <c r="G92" s="84"/>
      <c r="H92" s="33" t="str">
        <f t="shared" si="5"/>
        <v/>
      </c>
      <c r="I92" s="86"/>
      <c r="J92" s="5"/>
    </row>
    <row r="93" spans="2:10" x14ac:dyDescent="0.3">
      <c r="B93" s="107" t="str">
        <f>IF(C93&lt;&gt;"","1.6.9","")</f>
        <v/>
      </c>
      <c r="C93" s="84"/>
      <c r="D93" s="84"/>
      <c r="E93" s="84"/>
      <c r="F93" s="84"/>
      <c r="G93" s="84"/>
      <c r="H93" s="33" t="str">
        <f t="shared" si="5"/>
        <v/>
      </c>
      <c r="I93" s="86"/>
      <c r="J93" s="5"/>
    </row>
    <row r="94" spans="2:10" ht="15" thickBot="1" x14ac:dyDescent="0.35">
      <c r="B94" s="108" t="str">
        <f>IF(C94&lt;&gt;"","1.6.10","")</f>
        <v/>
      </c>
      <c r="C94" s="85"/>
      <c r="D94" s="85"/>
      <c r="E94" s="85"/>
      <c r="F94" s="85"/>
      <c r="G94" s="85"/>
      <c r="H94" s="34" t="str">
        <f>IF(F94&lt;&gt;"",F94*G94,"")</f>
        <v/>
      </c>
      <c r="I94" s="92"/>
      <c r="J94" s="5"/>
    </row>
    <row r="95" spans="2:10" ht="15" thickBot="1" x14ac:dyDescent="0.35">
      <c r="B95" s="5"/>
      <c r="C95" s="5"/>
      <c r="D95" s="5"/>
      <c r="E95" s="5"/>
      <c r="F95" s="5"/>
      <c r="G95" s="5"/>
      <c r="H95" s="5"/>
      <c r="I95" s="117"/>
      <c r="J95" s="5"/>
    </row>
    <row r="96" spans="2:10" ht="18.600000000000001" thickBot="1" x14ac:dyDescent="0.4">
      <c r="B96" s="202" t="str">
        <f>IF('Etap 1 - prototyp'!$C$11&lt;&gt;"",B11&amp;": "&amp;  'Etap 1 - prototyp'!$C$11,"")</f>
        <v/>
      </c>
      <c r="C96" s="203"/>
      <c r="D96" s="203"/>
      <c r="E96" s="203"/>
      <c r="F96" s="203"/>
      <c r="G96" s="203"/>
      <c r="H96" s="203"/>
      <c r="I96" s="204"/>
      <c r="J96" s="5"/>
    </row>
    <row r="97" spans="2:10" x14ac:dyDescent="0.3">
      <c r="B97" s="27" t="s">
        <v>0</v>
      </c>
      <c r="C97" s="28" t="s">
        <v>14</v>
      </c>
      <c r="D97" s="28" t="s">
        <v>2</v>
      </c>
      <c r="E97" s="28" t="s">
        <v>3</v>
      </c>
      <c r="F97" s="28" t="s">
        <v>13</v>
      </c>
      <c r="G97" s="28" t="s">
        <v>4</v>
      </c>
      <c r="H97" s="28" t="s">
        <v>5</v>
      </c>
      <c r="I97" s="124" t="s">
        <v>6</v>
      </c>
      <c r="J97" s="5"/>
    </row>
    <row r="98" spans="2:10" x14ac:dyDescent="0.3">
      <c r="B98" s="107" t="str">
        <f>IF(C98&lt;&gt;"","1.7.1","")</f>
        <v/>
      </c>
      <c r="C98" s="84"/>
      <c r="D98" s="84"/>
      <c r="E98" s="84"/>
      <c r="F98" s="84"/>
      <c r="G98" s="84"/>
      <c r="H98" s="33" t="str">
        <f>IF(F98&lt;&gt;"",F98*G98,"")</f>
        <v/>
      </c>
      <c r="I98" s="86"/>
      <c r="J98" s="5"/>
    </row>
    <row r="99" spans="2:10" x14ac:dyDescent="0.3">
      <c r="B99" s="107" t="str">
        <f>IF(C99&lt;&gt;"","1.7.2","")</f>
        <v/>
      </c>
      <c r="C99" s="84"/>
      <c r="D99" s="84"/>
      <c r="E99" s="84"/>
      <c r="F99" s="84"/>
      <c r="G99" s="84"/>
      <c r="H99" s="33" t="str">
        <f t="shared" ref="H99:H106" si="6">IF(F99&lt;&gt;"",F99*G99,"")</f>
        <v/>
      </c>
      <c r="I99" s="86"/>
      <c r="J99" s="5"/>
    </row>
    <row r="100" spans="2:10" x14ac:dyDescent="0.3">
      <c r="B100" s="107" t="str">
        <f>IF(C100&lt;&gt;"","1.7.3","")</f>
        <v/>
      </c>
      <c r="C100" s="84"/>
      <c r="D100" s="84"/>
      <c r="E100" s="84"/>
      <c r="F100" s="84"/>
      <c r="G100" s="84"/>
      <c r="H100" s="33" t="str">
        <f t="shared" si="6"/>
        <v/>
      </c>
      <c r="I100" s="86"/>
      <c r="J100" s="5"/>
    </row>
    <row r="101" spans="2:10" x14ac:dyDescent="0.3">
      <c r="B101" s="107" t="str">
        <f>IF(C101&lt;&gt;"","1.7.4","")</f>
        <v/>
      </c>
      <c r="C101" s="84"/>
      <c r="D101" s="84"/>
      <c r="E101" s="84"/>
      <c r="F101" s="84"/>
      <c r="G101" s="84"/>
      <c r="H101" s="33" t="str">
        <f t="shared" si="6"/>
        <v/>
      </c>
      <c r="I101" s="86"/>
      <c r="J101" s="5"/>
    </row>
    <row r="102" spans="2:10" x14ac:dyDescent="0.3">
      <c r="B102" s="107" t="str">
        <f>IF(C102&lt;&gt;"","1.7.5","")</f>
        <v/>
      </c>
      <c r="C102" s="84"/>
      <c r="D102" s="84"/>
      <c r="E102" s="84"/>
      <c r="F102" s="84"/>
      <c r="G102" s="84"/>
      <c r="H102" s="33" t="str">
        <f t="shared" si="6"/>
        <v/>
      </c>
      <c r="I102" s="86"/>
      <c r="J102" s="5"/>
    </row>
    <row r="103" spans="2:10" x14ac:dyDescent="0.3">
      <c r="B103" s="107" t="str">
        <f>IF(C103&lt;&gt;"","1.7.6","")</f>
        <v/>
      </c>
      <c r="C103" s="84"/>
      <c r="D103" s="84"/>
      <c r="E103" s="84"/>
      <c r="F103" s="84"/>
      <c r="G103" s="84"/>
      <c r="H103" s="33" t="str">
        <f t="shared" si="6"/>
        <v/>
      </c>
      <c r="I103" s="86"/>
      <c r="J103" s="5"/>
    </row>
    <row r="104" spans="2:10" x14ac:dyDescent="0.3">
      <c r="B104" s="107" t="str">
        <f>IF(C104&lt;&gt;"","1.7.7","")</f>
        <v/>
      </c>
      <c r="C104" s="84"/>
      <c r="D104" s="84"/>
      <c r="E104" s="84"/>
      <c r="F104" s="84"/>
      <c r="G104" s="84"/>
      <c r="H104" s="33" t="str">
        <f t="shared" si="6"/>
        <v/>
      </c>
      <c r="I104" s="86"/>
      <c r="J104" s="5"/>
    </row>
    <row r="105" spans="2:10" x14ac:dyDescent="0.3">
      <c r="B105" s="107" t="str">
        <f>IF(C105&lt;&gt;"","1.7.8","")</f>
        <v/>
      </c>
      <c r="C105" s="84"/>
      <c r="D105" s="84"/>
      <c r="E105" s="84"/>
      <c r="F105" s="84"/>
      <c r="G105" s="84"/>
      <c r="H105" s="33" t="str">
        <f t="shared" si="6"/>
        <v/>
      </c>
      <c r="I105" s="86"/>
      <c r="J105" s="5"/>
    </row>
    <row r="106" spans="2:10" x14ac:dyDescent="0.3">
      <c r="B106" s="107" t="str">
        <f>IF(C106&lt;&gt;"","1.7.9","")</f>
        <v/>
      </c>
      <c r="C106" s="84"/>
      <c r="D106" s="84"/>
      <c r="E106" s="84"/>
      <c r="F106" s="84"/>
      <c r="G106" s="84"/>
      <c r="H106" s="33" t="str">
        <f t="shared" si="6"/>
        <v/>
      </c>
      <c r="I106" s="86"/>
      <c r="J106" s="5"/>
    </row>
    <row r="107" spans="2:10" ht="15" thickBot="1" x14ac:dyDescent="0.35">
      <c r="B107" s="108" t="str">
        <f>IF(C107&lt;&gt;"","1.7.10","")</f>
        <v/>
      </c>
      <c r="C107" s="85"/>
      <c r="D107" s="85"/>
      <c r="E107" s="85"/>
      <c r="F107" s="85"/>
      <c r="G107" s="85"/>
      <c r="H107" s="34" t="str">
        <f>IF(F107&lt;&gt;"",F107*G107,"")</f>
        <v/>
      </c>
      <c r="I107" s="92"/>
      <c r="J107" s="5"/>
    </row>
    <row r="108" spans="2:10" ht="15" thickBot="1" x14ac:dyDescent="0.35">
      <c r="B108" s="5"/>
      <c r="C108" s="5"/>
      <c r="D108" s="5"/>
      <c r="E108" s="5"/>
      <c r="F108" s="5"/>
      <c r="G108" s="5"/>
      <c r="H108" s="5"/>
      <c r="I108" s="117"/>
      <c r="J108" s="5"/>
    </row>
    <row r="109" spans="2:10" ht="18.600000000000001" thickBot="1" x14ac:dyDescent="0.4">
      <c r="B109" s="202" t="str">
        <f>IF('Etap 1 - prototyp'!$C$12&lt;&gt;"", B12&amp;": "&amp;  'Etap 1 - prototyp'!$C$12,"")</f>
        <v/>
      </c>
      <c r="C109" s="203"/>
      <c r="D109" s="203"/>
      <c r="E109" s="203"/>
      <c r="F109" s="203"/>
      <c r="G109" s="203"/>
      <c r="H109" s="203"/>
      <c r="I109" s="204"/>
      <c r="J109" s="5"/>
    </row>
    <row r="110" spans="2:10" x14ac:dyDescent="0.3">
      <c r="B110" s="27" t="s">
        <v>0</v>
      </c>
      <c r="C110" s="28" t="s">
        <v>14</v>
      </c>
      <c r="D110" s="28" t="s">
        <v>2</v>
      </c>
      <c r="E110" s="28" t="s">
        <v>3</v>
      </c>
      <c r="F110" s="28" t="s">
        <v>13</v>
      </c>
      <c r="G110" s="28" t="s">
        <v>4</v>
      </c>
      <c r="H110" s="28" t="s">
        <v>5</v>
      </c>
      <c r="I110" s="124" t="s">
        <v>6</v>
      </c>
      <c r="J110" s="5"/>
    </row>
    <row r="111" spans="2:10" x14ac:dyDescent="0.3">
      <c r="B111" s="107" t="str">
        <f>IF(C111&lt;&gt;"","1.8.1","")</f>
        <v/>
      </c>
      <c r="C111" s="84"/>
      <c r="D111" s="84"/>
      <c r="E111" s="84"/>
      <c r="F111" s="84"/>
      <c r="G111" s="84"/>
      <c r="H111" s="33" t="str">
        <f>IF(F111&lt;&gt;"",F111*G111,"")</f>
        <v/>
      </c>
      <c r="I111" s="86"/>
      <c r="J111" s="5"/>
    </row>
    <row r="112" spans="2:10" x14ac:dyDescent="0.3">
      <c r="B112" s="107" t="str">
        <f>IF(C112&lt;&gt;"","1.8.2","")</f>
        <v/>
      </c>
      <c r="C112" s="84"/>
      <c r="D112" s="84"/>
      <c r="E112" s="84"/>
      <c r="F112" s="84"/>
      <c r="G112" s="84"/>
      <c r="H112" s="33" t="str">
        <f t="shared" ref="H112:H119" si="7">IF(F112&lt;&gt;"",F112*G112,"")</f>
        <v/>
      </c>
      <c r="I112" s="86"/>
      <c r="J112" s="5"/>
    </row>
    <row r="113" spans="2:10" x14ac:dyDescent="0.3">
      <c r="B113" s="107" t="str">
        <f>IF(C113&lt;&gt;"","1.8.3","")</f>
        <v/>
      </c>
      <c r="C113" s="84"/>
      <c r="D113" s="84"/>
      <c r="E113" s="84"/>
      <c r="F113" s="84"/>
      <c r="G113" s="84"/>
      <c r="H113" s="33" t="str">
        <f t="shared" si="7"/>
        <v/>
      </c>
      <c r="I113" s="86"/>
      <c r="J113" s="5"/>
    </row>
    <row r="114" spans="2:10" x14ac:dyDescent="0.3">
      <c r="B114" s="107" t="str">
        <f>IF(C114&lt;&gt;"","1.8.4","")</f>
        <v/>
      </c>
      <c r="C114" s="84"/>
      <c r="D114" s="84"/>
      <c r="E114" s="84"/>
      <c r="F114" s="84"/>
      <c r="G114" s="84"/>
      <c r="H114" s="33" t="str">
        <f t="shared" si="7"/>
        <v/>
      </c>
      <c r="I114" s="86"/>
      <c r="J114" s="5"/>
    </row>
    <row r="115" spans="2:10" x14ac:dyDescent="0.3">
      <c r="B115" s="107" t="str">
        <f>IF(C115&lt;&gt;"","1.8.5","")</f>
        <v/>
      </c>
      <c r="C115" s="84"/>
      <c r="D115" s="84"/>
      <c r="E115" s="84"/>
      <c r="F115" s="84"/>
      <c r="G115" s="84"/>
      <c r="H115" s="33" t="str">
        <f t="shared" si="7"/>
        <v/>
      </c>
      <c r="I115" s="86"/>
      <c r="J115" s="5"/>
    </row>
    <row r="116" spans="2:10" x14ac:dyDescent="0.3">
      <c r="B116" s="107" t="str">
        <f>IF(C116&lt;&gt;"","1.8.6","")</f>
        <v/>
      </c>
      <c r="C116" s="84"/>
      <c r="D116" s="84"/>
      <c r="E116" s="84"/>
      <c r="F116" s="84"/>
      <c r="G116" s="84"/>
      <c r="H116" s="33" t="str">
        <f t="shared" si="7"/>
        <v/>
      </c>
      <c r="I116" s="86"/>
      <c r="J116" s="5"/>
    </row>
    <row r="117" spans="2:10" x14ac:dyDescent="0.3">
      <c r="B117" s="107" t="str">
        <f>IF(C117&lt;&gt;"","1.8.7","")</f>
        <v/>
      </c>
      <c r="C117" s="84"/>
      <c r="D117" s="84"/>
      <c r="E117" s="84"/>
      <c r="F117" s="84"/>
      <c r="G117" s="84"/>
      <c r="H117" s="33" t="str">
        <f t="shared" si="7"/>
        <v/>
      </c>
      <c r="I117" s="86"/>
      <c r="J117" s="5"/>
    </row>
    <row r="118" spans="2:10" x14ac:dyDescent="0.3">
      <c r="B118" s="107" t="str">
        <f>IF(C118&lt;&gt;"","1.8.8","")</f>
        <v/>
      </c>
      <c r="C118" s="84"/>
      <c r="D118" s="84"/>
      <c r="E118" s="84"/>
      <c r="F118" s="84"/>
      <c r="G118" s="84"/>
      <c r="H118" s="33" t="str">
        <f t="shared" si="7"/>
        <v/>
      </c>
      <c r="I118" s="86"/>
      <c r="J118" s="5"/>
    </row>
    <row r="119" spans="2:10" x14ac:dyDescent="0.3">
      <c r="B119" s="107" t="str">
        <f>IF(C119&lt;&gt;"","1.8.9","")</f>
        <v/>
      </c>
      <c r="C119" s="84"/>
      <c r="D119" s="84"/>
      <c r="E119" s="84"/>
      <c r="F119" s="84"/>
      <c r="G119" s="84"/>
      <c r="H119" s="33" t="str">
        <f t="shared" si="7"/>
        <v/>
      </c>
      <c r="I119" s="86"/>
      <c r="J119" s="5"/>
    </row>
    <row r="120" spans="2:10" ht="15" thickBot="1" x14ac:dyDescent="0.35">
      <c r="B120" s="108" t="str">
        <f>IF(C120&lt;&gt;"","1.8.10","")</f>
        <v/>
      </c>
      <c r="C120" s="85"/>
      <c r="D120" s="85"/>
      <c r="E120" s="85"/>
      <c r="F120" s="85"/>
      <c r="G120" s="85"/>
      <c r="H120" s="34" t="str">
        <f>IF(F120&lt;&gt;"",F120*G120,"")</f>
        <v/>
      </c>
      <c r="I120" s="92"/>
      <c r="J120" s="5"/>
    </row>
    <row r="121" spans="2:10" ht="15" thickBot="1" x14ac:dyDescent="0.35">
      <c r="B121" s="5"/>
      <c r="C121" s="5"/>
      <c r="D121" s="5"/>
      <c r="E121" s="5"/>
      <c r="F121" s="5"/>
      <c r="G121" s="5"/>
      <c r="H121" s="5"/>
      <c r="I121" s="117"/>
      <c r="J121" s="5"/>
    </row>
    <row r="122" spans="2:10" ht="18.600000000000001" thickBot="1" x14ac:dyDescent="0.4">
      <c r="B122" s="202" t="str">
        <f>IF('Etap 1 - prototyp'!$C$13&lt;&gt;"",B13&amp;": "&amp;  'Etap 1 - prototyp'!$C$13,"")</f>
        <v/>
      </c>
      <c r="C122" s="203"/>
      <c r="D122" s="203"/>
      <c r="E122" s="203"/>
      <c r="F122" s="203"/>
      <c r="G122" s="203"/>
      <c r="H122" s="203"/>
      <c r="I122" s="204"/>
      <c r="J122" s="5"/>
    </row>
    <row r="123" spans="2:10" x14ac:dyDescent="0.3">
      <c r="B123" s="27" t="s">
        <v>0</v>
      </c>
      <c r="C123" s="28" t="s">
        <v>14</v>
      </c>
      <c r="D123" s="28" t="s">
        <v>2</v>
      </c>
      <c r="E123" s="28" t="s">
        <v>3</v>
      </c>
      <c r="F123" s="28" t="s">
        <v>13</v>
      </c>
      <c r="G123" s="28" t="s">
        <v>4</v>
      </c>
      <c r="H123" s="28" t="s">
        <v>5</v>
      </c>
      <c r="I123" s="124" t="s">
        <v>6</v>
      </c>
      <c r="J123" s="5"/>
    </row>
    <row r="124" spans="2:10" x14ac:dyDescent="0.3">
      <c r="B124" s="107" t="str">
        <f>IF(C124&lt;&gt;"","1.9.1","")</f>
        <v/>
      </c>
      <c r="C124" s="84"/>
      <c r="D124" s="84"/>
      <c r="E124" s="84"/>
      <c r="F124" s="84"/>
      <c r="G124" s="84"/>
      <c r="H124" s="33" t="str">
        <f>IF(F124&lt;&gt;"",F124*G124,"")</f>
        <v/>
      </c>
      <c r="I124" s="86"/>
      <c r="J124" s="5"/>
    </row>
    <row r="125" spans="2:10" x14ac:dyDescent="0.3">
      <c r="B125" s="107" t="str">
        <f>IF(C125&lt;&gt;"","1.9.2","")</f>
        <v/>
      </c>
      <c r="C125" s="84"/>
      <c r="D125" s="84"/>
      <c r="E125" s="84"/>
      <c r="F125" s="84"/>
      <c r="G125" s="84"/>
      <c r="H125" s="33" t="str">
        <f t="shared" ref="H125:H132" si="8">IF(F125&lt;&gt;"",F125*G125,"")</f>
        <v/>
      </c>
      <c r="I125" s="86"/>
      <c r="J125" s="5"/>
    </row>
    <row r="126" spans="2:10" x14ac:dyDescent="0.3">
      <c r="B126" s="107" t="str">
        <f>IF(C126&lt;&gt;"","1.9.3","")</f>
        <v/>
      </c>
      <c r="C126" s="84"/>
      <c r="D126" s="84"/>
      <c r="E126" s="84"/>
      <c r="F126" s="84"/>
      <c r="G126" s="84"/>
      <c r="H126" s="33" t="str">
        <f t="shared" si="8"/>
        <v/>
      </c>
      <c r="I126" s="86"/>
      <c r="J126" s="5"/>
    </row>
    <row r="127" spans="2:10" x14ac:dyDescent="0.3">
      <c r="B127" s="107" t="str">
        <f>IF(C127&lt;&gt;"","1.9.4","")</f>
        <v/>
      </c>
      <c r="C127" s="84"/>
      <c r="D127" s="84"/>
      <c r="E127" s="84"/>
      <c r="F127" s="84"/>
      <c r="G127" s="84"/>
      <c r="H127" s="33" t="str">
        <f t="shared" si="8"/>
        <v/>
      </c>
      <c r="I127" s="86"/>
      <c r="J127" s="5"/>
    </row>
    <row r="128" spans="2:10" x14ac:dyDescent="0.3">
      <c r="B128" s="107" t="str">
        <f>IF(C128&lt;&gt;"","1.9.5","")</f>
        <v/>
      </c>
      <c r="C128" s="84"/>
      <c r="D128" s="84"/>
      <c r="E128" s="84"/>
      <c r="F128" s="84"/>
      <c r="G128" s="84"/>
      <c r="H128" s="33" t="str">
        <f t="shared" si="8"/>
        <v/>
      </c>
      <c r="I128" s="86"/>
      <c r="J128" s="5"/>
    </row>
    <row r="129" spans="2:10" x14ac:dyDescent="0.3">
      <c r="B129" s="107" t="str">
        <f>IF(C129&lt;&gt;"","1.9.6","")</f>
        <v/>
      </c>
      <c r="C129" s="84"/>
      <c r="D129" s="84"/>
      <c r="E129" s="84"/>
      <c r="F129" s="84"/>
      <c r="G129" s="84"/>
      <c r="H129" s="33" t="str">
        <f t="shared" si="8"/>
        <v/>
      </c>
      <c r="I129" s="86"/>
      <c r="J129" s="5"/>
    </row>
    <row r="130" spans="2:10" x14ac:dyDescent="0.3">
      <c r="B130" s="107" t="str">
        <f>IF(C130&lt;&gt;"","1.9.7","")</f>
        <v/>
      </c>
      <c r="C130" s="84"/>
      <c r="D130" s="84"/>
      <c r="E130" s="84"/>
      <c r="F130" s="84"/>
      <c r="G130" s="84"/>
      <c r="H130" s="33" t="str">
        <f t="shared" si="8"/>
        <v/>
      </c>
      <c r="I130" s="86"/>
      <c r="J130" s="5"/>
    </row>
    <row r="131" spans="2:10" x14ac:dyDescent="0.3">
      <c r="B131" s="107" t="str">
        <f>IF(C131&lt;&gt;"","1.9.8","")</f>
        <v/>
      </c>
      <c r="C131" s="84"/>
      <c r="D131" s="84"/>
      <c r="E131" s="84"/>
      <c r="F131" s="84"/>
      <c r="G131" s="84"/>
      <c r="H131" s="33" t="str">
        <f t="shared" si="8"/>
        <v/>
      </c>
      <c r="I131" s="86"/>
      <c r="J131" s="5"/>
    </row>
    <row r="132" spans="2:10" x14ac:dyDescent="0.3">
      <c r="B132" s="107" t="str">
        <f>IF(C132&lt;&gt;"","1.9.9","")</f>
        <v/>
      </c>
      <c r="C132" s="84"/>
      <c r="D132" s="84"/>
      <c r="E132" s="84"/>
      <c r="F132" s="84"/>
      <c r="G132" s="84"/>
      <c r="H132" s="33" t="str">
        <f t="shared" si="8"/>
        <v/>
      </c>
      <c r="I132" s="86"/>
      <c r="J132" s="5"/>
    </row>
    <row r="133" spans="2:10" ht="15" thickBot="1" x14ac:dyDescent="0.35">
      <c r="B133" s="108" t="str">
        <f>IF(C133&lt;&gt;"","1.9.10","")</f>
        <v/>
      </c>
      <c r="C133" s="85"/>
      <c r="D133" s="85"/>
      <c r="E133" s="85"/>
      <c r="F133" s="85"/>
      <c r="G133" s="85"/>
      <c r="H133" s="34" t="str">
        <f>IF(F133&lt;&gt;"",F133*G133,"")</f>
        <v/>
      </c>
      <c r="I133" s="92"/>
      <c r="J133" s="5"/>
    </row>
    <row r="134" spans="2:10" ht="15" thickBot="1" x14ac:dyDescent="0.35">
      <c r="B134" s="5"/>
      <c r="C134" s="5"/>
      <c r="D134" s="5"/>
      <c r="E134" s="5"/>
      <c r="F134" s="5"/>
      <c r="G134" s="5"/>
      <c r="H134" s="5"/>
      <c r="I134" s="117"/>
      <c r="J134" s="5"/>
    </row>
    <row r="135" spans="2:10" ht="18.600000000000001" thickBot="1" x14ac:dyDescent="0.4">
      <c r="B135" s="202" t="str">
        <f>IF('Etap 1 - prototyp'!$C$14&lt;&gt;"",B14&amp;": "&amp;  'Etap 1 - prototyp'!$C$14,"")</f>
        <v/>
      </c>
      <c r="C135" s="203"/>
      <c r="D135" s="203"/>
      <c r="E135" s="203"/>
      <c r="F135" s="203"/>
      <c r="G135" s="203"/>
      <c r="H135" s="203"/>
      <c r="I135" s="204"/>
      <c r="J135" s="5"/>
    </row>
    <row r="136" spans="2:10" x14ac:dyDescent="0.3">
      <c r="B136" s="27" t="s">
        <v>0</v>
      </c>
      <c r="C136" s="28" t="s">
        <v>14</v>
      </c>
      <c r="D136" s="28" t="s">
        <v>2</v>
      </c>
      <c r="E136" s="28" t="s">
        <v>3</v>
      </c>
      <c r="F136" s="28" t="s">
        <v>13</v>
      </c>
      <c r="G136" s="28" t="s">
        <v>4</v>
      </c>
      <c r="H136" s="28" t="s">
        <v>5</v>
      </c>
      <c r="I136" s="124" t="s">
        <v>6</v>
      </c>
      <c r="J136" s="5"/>
    </row>
    <row r="137" spans="2:10" x14ac:dyDescent="0.3">
      <c r="B137" s="107" t="str">
        <f>IF(C137&lt;&gt;"","1.10.1","")</f>
        <v/>
      </c>
      <c r="C137" s="84"/>
      <c r="D137" s="84"/>
      <c r="E137" s="84"/>
      <c r="F137" s="84"/>
      <c r="G137" s="84"/>
      <c r="H137" s="33" t="str">
        <f>IF(F137&lt;&gt;"",F137*G137,"")</f>
        <v/>
      </c>
      <c r="I137" s="86"/>
      <c r="J137" s="5"/>
    </row>
    <row r="138" spans="2:10" x14ac:dyDescent="0.3">
      <c r="B138" s="107" t="str">
        <f>IF(C138&lt;&gt;"","1.10.2","")</f>
        <v/>
      </c>
      <c r="C138" s="84"/>
      <c r="D138" s="84"/>
      <c r="E138" s="84"/>
      <c r="F138" s="84"/>
      <c r="G138" s="84"/>
      <c r="H138" s="33" t="str">
        <f t="shared" ref="H138:H145" si="9">IF(F138&lt;&gt;"",F138*G138,"")</f>
        <v/>
      </c>
      <c r="I138" s="86"/>
      <c r="J138" s="5"/>
    </row>
    <row r="139" spans="2:10" x14ac:dyDescent="0.3">
      <c r="B139" s="107" t="str">
        <f>IF(C139&lt;&gt;"","1.10.3","")</f>
        <v/>
      </c>
      <c r="C139" s="84"/>
      <c r="D139" s="84"/>
      <c r="E139" s="84"/>
      <c r="F139" s="84"/>
      <c r="G139" s="84"/>
      <c r="H139" s="33" t="str">
        <f t="shared" si="9"/>
        <v/>
      </c>
      <c r="I139" s="86"/>
      <c r="J139" s="5"/>
    </row>
    <row r="140" spans="2:10" x14ac:dyDescent="0.3">
      <c r="B140" s="107" t="str">
        <f>IF(C140&lt;&gt;"","1.10.4","")</f>
        <v/>
      </c>
      <c r="C140" s="84"/>
      <c r="D140" s="84"/>
      <c r="E140" s="84"/>
      <c r="F140" s="84"/>
      <c r="G140" s="84"/>
      <c r="H140" s="33" t="str">
        <f t="shared" si="9"/>
        <v/>
      </c>
      <c r="I140" s="86"/>
      <c r="J140" s="5"/>
    </row>
    <row r="141" spans="2:10" x14ac:dyDescent="0.3">
      <c r="B141" s="107" t="str">
        <f>IF(C141&lt;&gt;"","1.10.5","")</f>
        <v/>
      </c>
      <c r="C141" s="84"/>
      <c r="D141" s="84"/>
      <c r="E141" s="84"/>
      <c r="F141" s="84"/>
      <c r="G141" s="84"/>
      <c r="H141" s="33" t="str">
        <f t="shared" si="9"/>
        <v/>
      </c>
      <c r="I141" s="86"/>
      <c r="J141" s="5"/>
    </row>
    <row r="142" spans="2:10" x14ac:dyDescent="0.3">
      <c r="B142" s="107" t="str">
        <f>IF(C142&lt;&gt;"","1.10.6","")</f>
        <v/>
      </c>
      <c r="C142" s="84"/>
      <c r="D142" s="84"/>
      <c r="E142" s="84"/>
      <c r="F142" s="84"/>
      <c r="G142" s="84"/>
      <c r="H142" s="33" t="str">
        <f t="shared" si="9"/>
        <v/>
      </c>
      <c r="I142" s="86"/>
      <c r="J142" s="5"/>
    </row>
    <row r="143" spans="2:10" x14ac:dyDescent="0.3">
      <c r="B143" s="107" t="str">
        <f>IF(C143&lt;&gt;"","1.10.7","")</f>
        <v/>
      </c>
      <c r="C143" s="84"/>
      <c r="D143" s="84"/>
      <c r="E143" s="84"/>
      <c r="F143" s="84"/>
      <c r="G143" s="84"/>
      <c r="H143" s="33" t="str">
        <f t="shared" si="9"/>
        <v/>
      </c>
      <c r="I143" s="86"/>
      <c r="J143" s="5"/>
    </row>
    <row r="144" spans="2:10" x14ac:dyDescent="0.3">
      <c r="B144" s="107" t="str">
        <f>IF(C144&lt;&gt;"","1.10.8","")</f>
        <v/>
      </c>
      <c r="C144" s="84"/>
      <c r="D144" s="84"/>
      <c r="E144" s="84"/>
      <c r="F144" s="84"/>
      <c r="G144" s="84"/>
      <c r="H144" s="33" t="str">
        <f t="shared" si="9"/>
        <v/>
      </c>
      <c r="I144" s="86"/>
      <c r="J144" s="5"/>
    </row>
    <row r="145" spans="2:10" x14ac:dyDescent="0.3">
      <c r="B145" s="107" t="str">
        <f>IF(C145&lt;&gt;"","1.10.9","")</f>
        <v/>
      </c>
      <c r="C145" s="84"/>
      <c r="D145" s="84"/>
      <c r="E145" s="84"/>
      <c r="F145" s="84"/>
      <c r="G145" s="84"/>
      <c r="H145" s="33" t="str">
        <f t="shared" si="9"/>
        <v/>
      </c>
      <c r="I145" s="86"/>
      <c r="J145" s="5"/>
    </row>
    <row r="146" spans="2:10" ht="15" thickBot="1" x14ac:dyDescent="0.35">
      <c r="B146" s="108" t="str">
        <f>IF(C146&lt;&gt;"","1.10.10","")</f>
        <v/>
      </c>
      <c r="C146" s="85"/>
      <c r="D146" s="85"/>
      <c r="E146" s="85"/>
      <c r="F146" s="85"/>
      <c r="G146" s="85"/>
      <c r="H146" s="34" t="str">
        <f>IF(F146&lt;&gt;"",F146*G146,"")</f>
        <v/>
      </c>
      <c r="I146" s="92"/>
      <c r="J146" s="5"/>
    </row>
  </sheetData>
  <sheetProtection algorithmName="SHA-512" hashValue="iC1dUqbqnbf+JAk+Kq0k4ZvEIiI5FpGmI29fvyVL0OMtGj/9mw4DT6xbjCNcGrU6b2kkFQO0+z2qLilZ6Rt0SA==" saltValue="RmL9sOfkhomJa2g04JKytA==" spinCount="100000" sheet="1" selectLockedCells="1"/>
  <mergeCells count="12">
    <mergeCell ref="B3:F3"/>
    <mergeCell ref="B18:I18"/>
    <mergeCell ref="B135:I135"/>
    <mergeCell ref="B16:I16"/>
    <mergeCell ref="B122:I122"/>
    <mergeCell ref="B31:I31"/>
    <mergeCell ref="B44:I44"/>
    <mergeCell ref="B57:I57"/>
    <mergeCell ref="B109:I109"/>
    <mergeCell ref="B70:I70"/>
    <mergeCell ref="B83:I83"/>
    <mergeCell ref="B96:I96"/>
  </mergeCells>
  <phoneticPr fontId="4" type="noConversion"/>
  <conditionalFormatting sqref="B18:I19 B22:I29 B20:B21 D20:E21 H20:H21">
    <cfRule type="expression" dxfId="56" priority="25">
      <formula>$B$18=""</formula>
    </cfRule>
  </conditionalFormatting>
  <conditionalFormatting sqref="B31:I42">
    <cfRule type="expression" dxfId="55" priority="24">
      <formula>$B$31=""</formula>
    </cfRule>
  </conditionalFormatting>
  <conditionalFormatting sqref="B44:I45 B55:I55 B46:G54 I46:I54">
    <cfRule type="expression" dxfId="54" priority="21">
      <formula>$C$7=""</formula>
    </cfRule>
  </conditionalFormatting>
  <conditionalFormatting sqref="B57:I68">
    <cfRule type="expression" dxfId="53" priority="19">
      <formula>$C$8=""</formula>
    </cfRule>
  </conditionalFormatting>
  <conditionalFormatting sqref="B70:I81">
    <cfRule type="expression" dxfId="52" priority="17">
      <formula>$C$9=""</formula>
    </cfRule>
  </conditionalFormatting>
  <conditionalFormatting sqref="B83:I94">
    <cfRule type="expression" dxfId="51" priority="16">
      <formula>$C$10=""</formula>
    </cfRule>
  </conditionalFormatting>
  <conditionalFormatting sqref="B96:I107">
    <cfRule type="expression" dxfId="50" priority="15">
      <formula>$C$11=""</formula>
    </cfRule>
  </conditionalFormatting>
  <conditionalFormatting sqref="B109:I120">
    <cfRule type="expression" dxfId="49" priority="14">
      <formula>$C$12=""</formula>
    </cfRule>
  </conditionalFormatting>
  <conditionalFormatting sqref="B122:I133">
    <cfRule type="expression" dxfId="48" priority="13">
      <formula>$C$13=""</formula>
    </cfRule>
  </conditionalFormatting>
  <conditionalFormatting sqref="B135:I146">
    <cfRule type="expression" dxfId="47" priority="12">
      <formula>$C$14=""</formula>
    </cfRule>
  </conditionalFormatting>
  <conditionalFormatting sqref="H46:H54">
    <cfRule type="expression" dxfId="46" priority="1">
      <formula>$C$7=""</formula>
    </cfRule>
  </conditionalFormatting>
  <dataValidations count="2">
    <dataValidation type="decimal" operator="greaterThanOrEqual" allowBlank="1" showInputMessage="1" showErrorMessage="1" errorTitle="Błąd" error="Podaj liczbę" sqref="F124:G133 F137:G146 F33:G42 F46:G55 F59:G68 F72:G81 F85:G94 F98:G107 F111:G120 F22:G29" xr:uid="{DC131089-25BC-4BE8-B2C7-1AB75F563DC4}">
      <formula1>0</formula1>
    </dataValidation>
    <dataValidation type="date" allowBlank="1" showInputMessage="1" showErrorMessage="1" errorTitle="UWAGA" error="Podaj datę w formacie DD.MM.RRRR" promptTitle="UWAGA" prompt="Podaj datę w formacie DD.MM.RRRR" sqref="E6:F14" xr:uid="{17C047A3-3D4E-41A1-BCA4-5FCD01430E53}">
      <formula1>44562</formula1>
      <formula2>44926</formula2>
    </dataValidation>
  </dataValidations>
  <pageMargins left="0.7" right="0.7" top="0.75" bottom="0.75" header="0.3" footer="0.3"/>
  <pageSetup paperSize="9" orientation="portrait" r:id="rId1"/>
  <ignoredErrors>
    <ignoredError sqref="B20:B29 B33:B42 B46:B55 B59:B68 B72:B81 B85:B94 B98:B107 B111:B120 B124:B133 B137:B146" twoDigitTextYear="1"/>
  </ignoredErrors>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n/d_x000a_godzina_x000a_szt." xr:uid="{5A4F70EF-E058-4E85-968B-3ECD01DD0A10}">
          <x14:formula1>
            <xm:f>Robocze!$C$3:$C$9</xm:f>
          </x14:formula1>
          <xm:sqref>E137:E146 E20:E29 E33:E42 E46:E55 E59:E68 E72:E81 E85:E94 E98:E107 E111:E120 E124:E133</xm:sqref>
        </x14:dataValidation>
        <x14:dataValidation type="list" allowBlank="1" showInputMessage="1" showErrorMessage="1" errorTitle="Błąd" error="Nieznana kategoria wydatku" promptTitle="Wybierz z listy:" prompt="wynagrodzenia_x000a_usługi obce_x000a_materiały" xr:uid="{78AC13F1-EA33-458A-B2E3-1FC4EFE032DF}">
          <x14:formula1>
            <xm:f>Robocze!$B$3:$B$6</xm:f>
          </x14:formula1>
          <xm:sqref>D137:D146 D20:D29 D33:D42 D46:D55 D59:D68 D72:D81 D85:D94 D98:D107 D111:D120 D124:D133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5C6F-CD7E-4867-AF7C-DF2A8C1C6D83}">
  <sheetPr>
    <tabColor theme="9" tint="0.39997558519241921"/>
  </sheetPr>
  <dimension ref="B2:I146"/>
  <sheetViews>
    <sheetView zoomScale="80" zoomScaleNormal="80" workbookViewId="0">
      <selection activeCell="C9" sqref="C9"/>
    </sheetView>
  </sheetViews>
  <sheetFormatPr defaultColWidth="30.88671875" defaultRowHeight="14.4" x14ac:dyDescent="0.3"/>
  <cols>
    <col min="1" max="1" width="5.5546875" style="3" customWidth="1"/>
    <col min="2" max="2" width="15.109375" style="3" customWidth="1"/>
    <col min="3" max="3" width="102.33203125" style="3" customWidth="1"/>
    <col min="4" max="4" width="21.109375" style="3" customWidth="1"/>
    <col min="5" max="5" width="20.6640625" style="3" customWidth="1"/>
    <col min="6" max="6" width="21.44140625" style="3" customWidth="1"/>
    <col min="7" max="7" width="18" style="3" customWidth="1"/>
    <col min="8" max="8" width="17.6640625" style="3" bestFit="1" customWidth="1"/>
    <col min="9" max="9" width="96.33203125" style="123" customWidth="1"/>
    <col min="10" max="16384" width="30.88671875" style="3"/>
  </cols>
  <sheetData>
    <row r="2" spans="2:9" ht="15" thickBot="1" x14ac:dyDescent="0.35"/>
    <row r="3" spans="2:9" x14ac:dyDescent="0.3">
      <c r="B3" s="199" t="s">
        <v>18</v>
      </c>
      <c r="C3" s="200"/>
      <c r="D3" s="200"/>
      <c r="E3" s="200"/>
      <c r="F3" s="201"/>
    </row>
    <row r="4" spans="2:9" x14ac:dyDescent="0.3">
      <c r="B4" s="31" t="s">
        <v>21</v>
      </c>
      <c r="C4" s="72" t="s">
        <v>1</v>
      </c>
      <c r="D4" s="72" t="s">
        <v>15</v>
      </c>
      <c r="E4" s="72" t="s">
        <v>31</v>
      </c>
      <c r="F4" s="32" t="s">
        <v>32</v>
      </c>
    </row>
    <row r="5" spans="2:9" x14ac:dyDescent="0.3">
      <c r="B5" s="29" t="str">
        <f>IF(C5&lt;&gt;"","1."&amp; 10-COUNTBLANK('Etap 1 - prototyp'!$B$5:$B$14)+1,"")</f>
        <v/>
      </c>
      <c r="C5" s="156"/>
      <c r="D5" s="33" t="str">
        <f>IF(C5&lt;&gt;"",SUM(H20:H29),"")</f>
        <v/>
      </c>
      <c r="E5" s="157"/>
      <c r="F5" s="158"/>
    </row>
    <row r="6" spans="2:9" x14ac:dyDescent="0.3">
      <c r="B6" s="29" t="str">
        <f>IF(C6&lt;&gt;"","1."&amp; 10-COUNTBLANK('Etap 1 - prototyp'!$B$5:$B$14)+2,"")</f>
        <v/>
      </c>
      <c r="C6" s="156"/>
      <c r="D6" s="33" t="str">
        <f>IF(C6&lt;&gt;"",SUM(H33:H42),"")</f>
        <v/>
      </c>
      <c r="E6" s="87"/>
      <c r="F6" s="88"/>
    </row>
    <row r="7" spans="2:9" x14ac:dyDescent="0.3">
      <c r="B7" s="29" t="str">
        <f>IF(C7&lt;&gt;"","1."&amp; 10-COUNTBLANK('Etap 1 - prototyp'!$B$5:$B$14)+3,"")</f>
        <v/>
      </c>
      <c r="C7" s="105"/>
      <c r="D7" s="33" t="str">
        <f>IF(C7&lt;&gt;"",SUM(H46:H55),"")</f>
        <v/>
      </c>
      <c r="E7" s="87"/>
      <c r="F7" s="88"/>
    </row>
    <row r="8" spans="2:9" x14ac:dyDescent="0.3">
      <c r="B8" s="29" t="str">
        <f>IF(C8&lt;&gt;"","1."&amp; 10-COUNTBLANK('Etap 1 - prototyp'!$B$5:$B$14)+4,"")</f>
        <v/>
      </c>
      <c r="C8" s="105"/>
      <c r="D8" s="33" t="str">
        <f>IF(C8&lt;&gt;"",SUM(H59:H68),"")</f>
        <v/>
      </c>
      <c r="E8" s="87"/>
      <c r="F8" s="88"/>
    </row>
    <row r="9" spans="2:9" x14ac:dyDescent="0.3">
      <c r="B9" s="29" t="str">
        <f>IF(C9&lt;&gt;"","1."&amp; 10-COUNTBLANK('Etap 1 - prototyp'!$B$5:$B$14)+5,"")</f>
        <v/>
      </c>
      <c r="C9" s="105"/>
      <c r="D9" s="33" t="str">
        <f>IF(C9&lt;&gt;"",SUM(H72:H81),"")</f>
        <v/>
      </c>
      <c r="E9" s="87"/>
      <c r="F9" s="88"/>
    </row>
    <row r="10" spans="2:9" x14ac:dyDescent="0.3">
      <c r="B10" s="29" t="str">
        <f>IF(C10&lt;&gt;"","1."&amp; 10-COUNTBLANK('Etap 1 - prototyp'!$B$5:$B$14)+6,"")</f>
        <v/>
      </c>
      <c r="C10" s="105"/>
      <c r="D10" s="33" t="str">
        <f>IF(C10&lt;&gt;"",SUM(H85:H94),"")</f>
        <v/>
      </c>
      <c r="E10" s="87"/>
      <c r="F10" s="88"/>
    </row>
    <row r="11" spans="2:9" x14ac:dyDescent="0.3">
      <c r="B11" s="29" t="str">
        <f>IF(C11&lt;&gt;"","1."&amp; 10-COUNTBLANK('Etap 1 - prototyp'!$B$5:$B$14)+7,"")</f>
        <v/>
      </c>
      <c r="C11" s="105"/>
      <c r="D11" s="33" t="str">
        <f>IF(C11&lt;&gt;"",SUM(H98:H107),"")</f>
        <v/>
      </c>
      <c r="E11" s="87"/>
      <c r="F11" s="88"/>
    </row>
    <row r="12" spans="2:9" x14ac:dyDescent="0.3">
      <c r="B12" s="29" t="str">
        <f>IF(C12&lt;&gt;"","1."&amp; 10-COUNTBLANK('Etap 1 - prototyp'!$B$5:$B$14)+8,"")</f>
        <v/>
      </c>
      <c r="C12" s="105"/>
      <c r="D12" s="33" t="str">
        <f>IF(C12&lt;&gt;"",SUM(H111:H120),"")</f>
        <v/>
      </c>
      <c r="E12" s="87"/>
      <c r="F12" s="88"/>
    </row>
    <row r="13" spans="2:9" x14ac:dyDescent="0.3">
      <c r="B13" s="29" t="str">
        <f>IF(C13&lt;&gt;"","1."&amp; 10-COUNTBLANK('Etap 1 - prototyp'!$B$5:$B$14)+9,"")</f>
        <v/>
      </c>
      <c r="C13" s="105"/>
      <c r="D13" s="33" t="str">
        <f>IF(C13&lt;&gt;"",SUM(H124:H133),"")</f>
        <v/>
      </c>
      <c r="E13" s="87"/>
      <c r="F13" s="88"/>
    </row>
    <row r="14" spans="2:9" ht="15" thickBot="1" x14ac:dyDescent="0.35">
      <c r="B14" s="30" t="str">
        <f>IF(C14&lt;&gt;"","1."&amp; 10-COUNTBLANK('Etap 1 - prototyp'!$B$5:$B$14)+10,"")</f>
        <v/>
      </c>
      <c r="C14" s="106"/>
      <c r="D14" s="34" t="str">
        <f>IF(C14&lt;&gt;"",SUM(H137:H146),"")</f>
        <v/>
      </c>
      <c r="E14" s="89"/>
      <c r="F14" s="90"/>
    </row>
    <row r="15" spans="2:9" ht="15" thickBot="1" x14ac:dyDescent="0.35"/>
    <row r="16" spans="2:9" ht="26.4" thickBot="1" x14ac:dyDescent="0.55000000000000004">
      <c r="B16" s="205" t="s">
        <v>176</v>
      </c>
      <c r="C16" s="206"/>
      <c r="D16" s="206"/>
      <c r="E16" s="206"/>
      <c r="F16" s="206"/>
      <c r="G16" s="206"/>
      <c r="H16" s="206"/>
      <c r="I16" s="207"/>
    </row>
    <row r="17" spans="2:9" ht="15" thickBot="1" x14ac:dyDescent="0.35"/>
    <row r="18" spans="2:9" ht="18.600000000000001" thickBot="1" x14ac:dyDescent="0.4">
      <c r="B18" s="202" t="str">
        <f>IF('Etap 1 - testowanie'!$C$5&lt;&gt;"",B5&amp;": "&amp;  'Etap 1 - testowanie'!$C$5,"")</f>
        <v/>
      </c>
      <c r="C18" s="203"/>
      <c r="D18" s="203"/>
      <c r="E18" s="203"/>
      <c r="F18" s="203"/>
      <c r="G18" s="203"/>
      <c r="H18" s="203"/>
      <c r="I18" s="204"/>
    </row>
    <row r="19" spans="2:9" x14ac:dyDescent="0.3">
      <c r="B19" s="27" t="s">
        <v>0</v>
      </c>
      <c r="C19" s="28" t="s">
        <v>14</v>
      </c>
      <c r="D19" s="28" t="s">
        <v>2</v>
      </c>
      <c r="E19" s="28" t="s">
        <v>3</v>
      </c>
      <c r="F19" s="28" t="s">
        <v>13</v>
      </c>
      <c r="G19" s="28" t="s">
        <v>4</v>
      </c>
      <c r="H19" s="28" t="s">
        <v>5</v>
      </c>
      <c r="I19" s="124" t="s">
        <v>6</v>
      </c>
    </row>
    <row r="20" spans="2:9" x14ac:dyDescent="0.3">
      <c r="B20" s="29" t="str">
        <f>IF(C20&lt;&gt;"",$B$5&amp;".1","")</f>
        <v/>
      </c>
      <c r="C20" s="159"/>
      <c r="D20" s="83"/>
      <c r="E20" s="83"/>
      <c r="F20" s="153"/>
      <c r="G20" s="153"/>
      <c r="H20" s="33" t="str">
        <f>IF(F20&lt;&gt;"",F20*G20,"")</f>
        <v/>
      </c>
      <c r="I20" s="155"/>
    </row>
    <row r="21" spans="2:9" x14ac:dyDescent="0.3">
      <c r="B21" s="29" t="str">
        <f>IF(C21&lt;&gt;"",$B$5&amp;".2","")</f>
        <v/>
      </c>
      <c r="C21" s="160"/>
      <c r="D21" s="83"/>
      <c r="E21" s="83"/>
      <c r="F21" s="153"/>
      <c r="G21" s="153"/>
      <c r="H21" s="33" t="str">
        <f t="shared" ref="H21:H28" si="0">IF(F21&lt;&gt;"",F21*G21,"")</f>
        <v/>
      </c>
      <c r="I21" s="155"/>
    </row>
    <row r="22" spans="2:9" x14ac:dyDescent="0.3">
      <c r="B22" s="29" t="str">
        <f>IF(C22&lt;&gt;"",$B$5&amp;".3","")</f>
        <v/>
      </c>
      <c r="C22" s="160"/>
      <c r="D22" s="83"/>
      <c r="E22" s="83"/>
      <c r="F22" s="153"/>
      <c r="G22" s="153"/>
      <c r="H22" s="33" t="str">
        <f t="shared" si="0"/>
        <v/>
      </c>
      <c r="I22" s="155"/>
    </row>
    <row r="23" spans="2:9" ht="15" thickBot="1" x14ac:dyDescent="0.35">
      <c r="B23" s="29" t="str">
        <f>IF(C23&lt;&gt;"",$B$5&amp;".4","")</f>
        <v/>
      </c>
      <c r="C23" s="161"/>
      <c r="D23" s="83"/>
      <c r="E23" s="83"/>
      <c r="F23" s="153"/>
      <c r="G23" s="153"/>
      <c r="H23" s="33" t="str">
        <f t="shared" si="0"/>
        <v/>
      </c>
      <c r="I23" s="155"/>
    </row>
    <row r="24" spans="2:9" x14ac:dyDescent="0.3">
      <c r="B24" s="29" t="str">
        <f>IF(C24&lt;&gt;"",$B$5&amp;".5","")</f>
        <v/>
      </c>
      <c r="C24" s="83"/>
      <c r="D24" s="83"/>
      <c r="E24" s="83"/>
      <c r="F24" s="83"/>
      <c r="G24" s="83"/>
      <c r="H24" s="33" t="str">
        <f t="shared" si="0"/>
        <v/>
      </c>
      <c r="I24" s="86"/>
    </row>
    <row r="25" spans="2:9" x14ac:dyDescent="0.3">
      <c r="B25" s="29" t="str">
        <f>IF(C25&lt;&gt;"",$B$5&amp;".6","")</f>
        <v/>
      </c>
      <c r="C25" s="83"/>
      <c r="D25" s="83"/>
      <c r="E25" s="83"/>
      <c r="F25" s="83"/>
      <c r="G25" s="83"/>
      <c r="H25" s="33" t="str">
        <f t="shared" si="0"/>
        <v/>
      </c>
      <c r="I25" s="86"/>
    </row>
    <row r="26" spans="2:9" x14ac:dyDescent="0.3">
      <c r="B26" s="29" t="str">
        <f>IF(C26&lt;&gt;"",$B$5&amp;".7","")</f>
        <v/>
      </c>
      <c r="C26" s="83"/>
      <c r="D26" s="83"/>
      <c r="E26" s="83"/>
      <c r="F26" s="83"/>
      <c r="G26" s="83"/>
      <c r="H26" s="33" t="str">
        <f t="shared" si="0"/>
        <v/>
      </c>
      <c r="I26" s="86"/>
    </row>
    <row r="27" spans="2:9" x14ac:dyDescent="0.3">
      <c r="B27" s="29" t="str">
        <f>IF(C27&lt;&gt;"",$B$5&amp;".8","")</f>
        <v/>
      </c>
      <c r="C27" s="83"/>
      <c r="D27" s="83"/>
      <c r="E27" s="83"/>
      <c r="F27" s="83"/>
      <c r="G27" s="83"/>
      <c r="H27" s="33" t="str">
        <f t="shared" si="0"/>
        <v/>
      </c>
      <c r="I27" s="86"/>
    </row>
    <row r="28" spans="2:9" x14ac:dyDescent="0.3">
      <c r="B28" s="29" t="str">
        <f>IF(C28&lt;&gt;"",$B$5&amp;".9","")</f>
        <v/>
      </c>
      <c r="C28" s="83"/>
      <c r="D28" s="83"/>
      <c r="E28" s="83"/>
      <c r="F28" s="83"/>
      <c r="G28" s="83"/>
      <c r="H28" s="33" t="str">
        <f t="shared" si="0"/>
        <v/>
      </c>
      <c r="I28" s="86"/>
    </row>
    <row r="29" spans="2:9" ht="15" thickBot="1" x14ac:dyDescent="0.35">
      <c r="B29" s="30" t="str">
        <f>IF(C29&lt;&gt;"",$B$5&amp;".10","")</f>
        <v/>
      </c>
      <c r="C29" s="91"/>
      <c r="D29" s="91"/>
      <c r="E29" s="91"/>
      <c r="F29" s="91"/>
      <c r="G29" s="91"/>
      <c r="H29" s="34" t="str">
        <f>IF(F29&lt;&gt;"",F29*G29,"")</f>
        <v/>
      </c>
      <c r="I29" s="92"/>
    </row>
    <row r="30" spans="2:9" ht="15" thickBot="1" x14ac:dyDescent="0.35">
      <c r="B30" s="5"/>
      <c r="C30" s="5"/>
      <c r="D30" s="5"/>
      <c r="E30" s="5"/>
      <c r="F30" s="5"/>
      <c r="G30" s="5"/>
      <c r="H30" s="5"/>
      <c r="I30" s="117"/>
    </row>
    <row r="31" spans="2:9" ht="18.600000000000001" thickBot="1" x14ac:dyDescent="0.4">
      <c r="B31" s="202" t="str">
        <f>IF('Etap 1 - testowanie'!$C$6&lt;&gt;"",B6&amp;": "&amp;  'Etap 1 - testowanie'!$C$6,"")</f>
        <v/>
      </c>
      <c r="C31" s="203"/>
      <c r="D31" s="203"/>
      <c r="E31" s="203"/>
      <c r="F31" s="203"/>
      <c r="G31" s="203"/>
      <c r="H31" s="203"/>
      <c r="I31" s="204"/>
    </row>
    <row r="32" spans="2:9" x14ac:dyDescent="0.3">
      <c r="B32" s="27" t="s">
        <v>0</v>
      </c>
      <c r="C32" s="28" t="s">
        <v>14</v>
      </c>
      <c r="D32" s="28" t="s">
        <v>2</v>
      </c>
      <c r="E32" s="28" t="s">
        <v>3</v>
      </c>
      <c r="F32" s="28" t="s">
        <v>13</v>
      </c>
      <c r="G32" s="28" t="s">
        <v>4</v>
      </c>
      <c r="H32" s="28" t="s">
        <v>5</v>
      </c>
      <c r="I32" s="124" t="s">
        <v>6</v>
      </c>
    </row>
    <row r="33" spans="2:9" x14ac:dyDescent="0.3">
      <c r="B33" s="29" t="str">
        <f>IF(C33&lt;&gt;"",$B$6&amp;".1","")</f>
        <v/>
      </c>
      <c r="C33" s="83"/>
      <c r="D33" s="83"/>
      <c r="E33" s="83"/>
      <c r="F33" s="83"/>
      <c r="G33" s="83"/>
      <c r="H33" s="33" t="str">
        <f>IF(F33&lt;&gt;"",F33*G33,"")</f>
        <v/>
      </c>
      <c r="I33" s="86"/>
    </row>
    <row r="34" spans="2:9" x14ac:dyDescent="0.3">
      <c r="B34" s="29" t="str">
        <f>IF(C34&lt;&gt;"",$B$6&amp;".2","")</f>
        <v/>
      </c>
      <c r="C34" s="83"/>
      <c r="D34" s="83"/>
      <c r="E34" s="83"/>
      <c r="F34" s="83"/>
      <c r="G34" s="83"/>
      <c r="H34" s="33" t="str">
        <f t="shared" ref="H34:H41" si="1">IF(F34&lt;&gt;"",F34*G34,"")</f>
        <v/>
      </c>
      <c r="I34" s="86"/>
    </row>
    <row r="35" spans="2:9" x14ac:dyDescent="0.3">
      <c r="B35" s="29" t="str">
        <f>IF(C35&lt;&gt;"",$B$6&amp;".3","")</f>
        <v/>
      </c>
      <c r="C35" s="83"/>
      <c r="D35" s="83"/>
      <c r="E35" s="83"/>
      <c r="F35" s="83"/>
      <c r="G35" s="83"/>
      <c r="H35" s="33" t="str">
        <f t="shared" si="1"/>
        <v/>
      </c>
      <c r="I35" s="86"/>
    </row>
    <row r="36" spans="2:9" x14ac:dyDescent="0.3">
      <c r="B36" s="29" t="str">
        <f>IF(C36&lt;&gt;"",$B$6&amp;".4","")</f>
        <v/>
      </c>
      <c r="C36" s="83"/>
      <c r="D36" s="83"/>
      <c r="E36" s="83"/>
      <c r="F36" s="83"/>
      <c r="G36" s="83"/>
      <c r="H36" s="33" t="str">
        <f t="shared" si="1"/>
        <v/>
      </c>
      <c r="I36" s="86"/>
    </row>
    <row r="37" spans="2:9" x14ac:dyDescent="0.3">
      <c r="B37" s="29" t="str">
        <f>IF(C37&lt;&gt;"",$B$6&amp;".5","")</f>
        <v/>
      </c>
      <c r="C37" s="83"/>
      <c r="D37" s="83"/>
      <c r="E37" s="83"/>
      <c r="F37" s="83"/>
      <c r="G37" s="83"/>
      <c r="H37" s="33" t="str">
        <f t="shared" si="1"/>
        <v/>
      </c>
      <c r="I37" s="86"/>
    </row>
    <row r="38" spans="2:9" x14ac:dyDescent="0.3">
      <c r="B38" s="29" t="str">
        <f>IF(C38&lt;&gt;"",$B$6&amp;".6","")</f>
        <v/>
      </c>
      <c r="C38" s="83"/>
      <c r="D38" s="83"/>
      <c r="E38" s="83"/>
      <c r="F38" s="83"/>
      <c r="G38" s="83"/>
      <c r="H38" s="33" t="str">
        <f t="shared" si="1"/>
        <v/>
      </c>
      <c r="I38" s="86"/>
    </row>
    <row r="39" spans="2:9" x14ac:dyDescent="0.3">
      <c r="B39" s="29" t="str">
        <f>IF(C39&lt;&gt;"",$B$6&amp;".7","")</f>
        <v/>
      </c>
      <c r="C39" s="83"/>
      <c r="D39" s="83"/>
      <c r="E39" s="83"/>
      <c r="F39" s="83"/>
      <c r="G39" s="83"/>
      <c r="H39" s="33" t="str">
        <f t="shared" si="1"/>
        <v/>
      </c>
      <c r="I39" s="86"/>
    </row>
    <row r="40" spans="2:9" x14ac:dyDescent="0.3">
      <c r="B40" s="29" t="str">
        <f>IF(C40&lt;&gt;"",$B$6&amp;".8","")</f>
        <v/>
      </c>
      <c r="C40" s="83"/>
      <c r="D40" s="83"/>
      <c r="E40" s="83"/>
      <c r="F40" s="83"/>
      <c r="G40" s="83"/>
      <c r="H40" s="33" t="str">
        <f t="shared" si="1"/>
        <v/>
      </c>
      <c r="I40" s="86"/>
    </row>
    <row r="41" spans="2:9" x14ac:dyDescent="0.3">
      <c r="B41" s="29" t="str">
        <f>IF(C41&lt;&gt;"",$B$6&amp;".9","")</f>
        <v/>
      </c>
      <c r="C41" s="83"/>
      <c r="D41" s="83"/>
      <c r="E41" s="83"/>
      <c r="F41" s="83"/>
      <c r="G41" s="83"/>
      <c r="H41" s="33" t="str">
        <f t="shared" si="1"/>
        <v/>
      </c>
      <c r="I41" s="86"/>
    </row>
    <row r="42" spans="2:9" ht="15" thickBot="1" x14ac:dyDescent="0.35">
      <c r="B42" s="30" t="str">
        <f>IF(C42&lt;&gt;"",$B$6&amp;".10","")</f>
        <v/>
      </c>
      <c r="C42" s="91"/>
      <c r="D42" s="91"/>
      <c r="E42" s="91"/>
      <c r="F42" s="91"/>
      <c r="G42" s="91"/>
      <c r="H42" s="34" t="str">
        <f>IF(F42&lt;&gt;"",F42*G42,"")</f>
        <v/>
      </c>
      <c r="I42" s="92"/>
    </row>
    <row r="43" spans="2:9" ht="15" thickBot="1" x14ac:dyDescent="0.35">
      <c r="B43" s="5"/>
      <c r="C43" s="5"/>
      <c r="D43" s="5"/>
      <c r="E43" s="5"/>
      <c r="F43" s="5"/>
      <c r="G43" s="5"/>
      <c r="H43" s="5"/>
      <c r="I43" s="117"/>
    </row>
    <row r="44" spans="2:9" ht="18.600000000000001" thickBot="1" x14ac:dyDescent="0.4">
      <c r="B44" s="202" t="str">
        <f>IF('Etap 1 - testowanie'!$C$7&lt;&gt;"",B7&amp;": "&amp;  'Etap 1 - testowanie'!$C$7,"")</f>
        <v/>
      </c>
      <c r="C44" s="203"/>
      <c r="D44" s="203"/>
      <c r="E44" s="203"/>
      <c r="F44" s="203"/>
      <c r="G44" s="203"/>
      <c r="H44" s="203"/>
      <c r="I44" s="204"/>
    </row>
    <row r="45" spans="2:9" x14ac:dyDescent="0.3">
      <c r="B45" s="27" t="s">
        <v>0</v>
      </c>
      <c r="C45" s="28" t="s">
        <v>14</v>
      </c>
      <c r="D45" s="28" t="s">
        <v>2</v>
      </c>
      <c r="E45" s="28" t="s">
        <v>3</v>
      </c>
      <c r="F45" s="28" t="s">
        <v>13</v>
      </c>
      <c r="G45" s="28" t="s">
        <v>4</v>
      </c>
      <c r="H45" s="28" t="s">
        <v>5</v>
      </c>
      <c r="I45" s="124" t="s">
        <v>6</v>
      </c>
    </row>
    <row r="46" spans="2:9" x14ac:dyDescent="0.3">
      <c r="B46" s="29" t="str">
        <f>IF(C46&lt;&gt;"",$B$7&amp;".1","")</f>
        <v/>
      </c>
      <c r="C46" s="83"/>
      <c r="D46" s="83"/>
      <c r="E46" s="83"/>
      <c r="F46" s="83"/>
      <c r="G46" s="83"/>
      <c r="H46" s="33" t="str">
        <f>IF(F46&lt;&gt;"",F46*G46,"")</f>
        <v/>
      </c>
      <c r="I46" s="86"/>
    </row>
    <row r="47" spans="2:9" x14ac:dyDescent="0.3">
      <c r="B47" s="29" t="str">
        <f>IF(C47&lt;&gt;"",$B$7&amp;".2","")</f>
        <v/>
      </c>
      <c r="C47" s="83"/>
      <c r="D47" s="83"/>
      <c r="E47" s="83"/>
      <c r="F47" s="83"/>
      <c r="G47" s="83"/>
      <c r="H47" s="33" t="str">
        <f t="shared" ref="H47:H54" si="2">IF(F47&lt;&gt;"",F47*G47,"")</f>
        <v/>
      </c>
      <c r="I47" s="86"/>
    </row>
    <row r="48" spans="2:9" x14ac:dyDescent="0.3">
      <c r="B48" s="29" t="str">
        <f>IF(C48&lt;&gt;"",$B$7&amp;".3","")</f>
        <v/>
      </c>
      <c r="C48" s="83"/>
      <c r="D48" s="83"/>
      <c r="E48" s="83"/>
      <c r="F48" s="83"/>
      <c r="G48" s="83"/>
      <c r="H48" s="33" t="str">
        <f t="shared" si="2"/>
        <v/>
      </c>
      <c r="I48" s="86"/>
    </row>
    <row r="49" spans="2:9" x14ac:dyDescent="0.3">
      <c r="B49" s="29" t="str">
        <f>IF(C49&lt;&gt;"",$B$7&amp;".4","")</f>
        <v/>
      </c>
      <c r="C49" s="83"/>
      <c r="D49" s="83"/>
      <c r="E49" s="83"/>
      <c r="F49" s="83"/>
      <c r="G49" s="83"/>
      <c r="H49" s="33" t="str">
        <f t="shared" si="2"/>
        <v/>
      </c>
      <c r="I49" s="86"/>
    </row>
    <row r="50" spans="2:9" x14ac:dyDescent="0.3">
      <c r="B50" s="29" t="str">
        <f>IF(C50&lt;&gt;"",$B$7&amp;".5","")</f>
        <v/>
      </c>
      <c r="C50" s="83"/>
      <c r="D50" s="83"/>
      <c r="E50" s="83"/>
      <c r="F50" s="83"/>
      <c r="G50" s="83"/>
      <c r="H50" s="33" t="str">
        <f t="shared" si="2"/>
        <v/>
      </c>
      <c r="I50" s="86"/>
    </row>
    <row r="51" spans="2:9" x14ac:dyDescent="0.3">
      <c r="B51" s="29" t="str">
        <f>IF(C51&lt;&gt;"",$B$7&amp;".6","")</f>
        <v/>
      </c>
      <c r="C51" s="83"/>
      <c r="D51" s="83"/>
      <c r="E51" s="83"/>
      <c r="F51" s="83"/>
      <c r="G51" s="83"/>
      <c r="H51" s="33" t="str">
        <f t="shared" si="2"/>
        <v/>
      </c>
      <c r="I51" s="86"/>
    </row>
    <row r="52" spans="2:9" x14ac:dyDescent="0.3">
      <c r="B52" s="29" t="str">
        <f>IF(C52&lt;&gt;"",$B$7&amp;".7","")</f>
        <v/>
      </c>
      <c r="C52" s="83"/>
      <c r="D52" s="83"/>
      <c r="E52" s="83"/>
      <c r="F52" s="83"/>
      <c r="G52" s="83"/>
      <c r="H52" s="33" t="str">
        <f t="shared" si="2"/>
        <v/>
      </c>
      <c r="I52" s="86"/>
    </row>
    <row r="53" spans="2:9" x14ac:dyDescent="0.3">
      <c r="B53" s="29" t="str">
        <f>IF(C53&lt;&gt;"",$B$7&amp;".8","")</f>
        <v/>
      </c>
      <c r="C53" s="83"/>
      <c r="D53" s="83"/>
      <c r="E53" s="83"/>
      <c r="F53" s="83"/>
      <c r="G53" s="83"/>
      <c r="H53" s="33" t="str">
        <f t="shared" si="2"/>
        <v/>
      </c>
      <c r="I53" s="86"/>
    </row>
    <row r="54" spans="2:9" x14ac:dyDescent="0.3">
      <c r="B54" s="29" t="str">
        <f>IF(C54&lt;&gt;"",$B$7&amp;".9","")</f>
        <v/>
      </c>
      <c r="C54" s="83"/>
      <c r="D54" s="83"/>
      <c r="E54" s="83"/>
      <c r="F54" s="83"/>
      <c r="G54" s="83"/>
      <c r="H54" s="33" t="str">
        <f t="shared" si="2"/>
        <v/>
      </c>
      <c r="I54" s="86"/>
    </row>
    <row r="55" spans="2:9" ht="15" thickBot="1" x14ac:dyDescent="0.35">
      <c r="B55" s="30" t="str">
        <f>IF(C55&lt;&gt;"",$B$7&amp;".10","")</f>
        <v/>
      </c>
      <c r="C55" s="91"/>
      <c r="D55" s="91"/>
      <c r="E55" s="91"/>
      <c r="F55" s="91"/>
      <c r="G55" s="91"/>
      <c r="H55" s="34" t="str">
        <f>IF(F55&lt;&gt;"",F55*G55,"")</f>
        <v/>
      </c>
      <c r="I55" s="92"/>
    </row>
    <row r="56" spans="2:9" ht="15" thickBot="1" x14ac:dyDescent="0.35">
      <c r="B56" s="5"/>
      <c r="C56" s="5"/>
      <c r="D56" s="5"/>
      <c r="E56" s="5"/>
      <c r="F56" s="5"/>
      <c r="G56" s="5"/>
      <c r="H56" s="5"/>
      <c r="I56" s="117"/>
    </row>
    <row r="57" spans="2:9" ht="18.600000000000001" thickBot="1" x14ac:dyDescent="0.4">
      <c r="B57" s="202" t="str">
        <f>IF('Etap 1 - testowanie'!$C$8&lt;&gt;"",B8&amp;": "&amp;  'Etap 1 - testowanie'!$C$8,"")</f>
        <v/>
      </c>
      <c r="C57" s="203"/>
      <c r="D57" s="203"/>
      <c r="E57" s="203"/>
      <c r="F57" s="203"/>
      <c r="G57" s="203"/>
      <c r="H57" s="203"/>
      <c r="I57" s="204"/>
    </row>
    <row r="58" spans="2:9" x14ac:dyDescent="0.3">
      <c r="B58" s="27" t="s">
        <v>0</v>
      </c>
      <c r="C58" s="28" t="s">
        <v>14</v>
      </c>
      <c r="D58" s="28" t="s">
        <v>2</v>
      </c>
      <c r="E58" s="28" t="s">
        <v>3</v>
      </c>
      <c r="F58" s="28" t="s">
        <v>13</v>
      </c>
      <c r="G58" s="28" t="s">
        <v>4</v>
      </c>
      <c r="H58" s="28" t="s">
        <v>5</v>
      </c>
      <c r="I58" s="124" t="s">
        <v>6</v>
      </c>
    </row>
    <row r="59" spans="2:9" x14ac:dyDescent="0.3">
      <c r="B59" s="29" t="str">
        <f>IF(C59&lt;&gt;"",$B$8&amp;".1","")</f>
        <v/>
      </c>
      <c r="C59" s="83"/>
      <c r="D59" s="83"/>
      <c r="E59" s="83"/>
      <c r="F59" s="83"/>
      <c r="G59" s="83"/>
      <c r="H59" s="33" t="str">
        <f>IF(F59&lt;&gt;"",F59*G59,"")</f>
        <v/>
      </c>
      <c r="I59" s="86"/>
    </row>
    <row r="60" spans="2:9" x14ac:dyDescent="0.3">
      <c r="B60" s="29" t="str">
        <f>IF(C60&lt;&gt;"",$B$8&amp;".2","")</f>
        <v/>
      </c>
      <c r="C60" s="83"/>
      <c r="D60" s="83"/>
      <c r="E60" s="83"/>
      <c r="F60" s="83"/>
      <c r="G60" s="83"/>
      <c r="H60" s="33" t="str">
        <f t="shared" ref="H60:H67" si="3">IF(F60&lt;&gt;"",F60*G60,"")</f>
        <v/>
      </c>
      <c r="I60" s="86"/>
    </row>
    <row r="61" spans="2:9" x14ac:dyDescent="0.3">
      <c r="B61" s="29" t="str">
        <f>IF(C61&lt;&gt;"",$B$8&amp;".3","")</f>
        <v/>
      </c>
      <c r="C61" s="83"/>
      <c r="D61" s="83"/>
      <c r="E61" s="83"/>
      <c r="F61" s="83"/>
      <c r="G61" s="83"/>
      <c r="H61" s="33" t="str">
        <f t="shared" si="3"/>
        <v/>
      </c>
      <c r="I61" s="86"/>
    </row>
    <row r="62" spans="2:9" x14ac:dyDescent="0.3">
      <c r="B62" s="29" t="str">
        <f>IF(C62&lt;&gt;"",$B$8&amp;".4","")</f>
        <v/>
      </c>
      <c r="C62" s="83"/>
      <c r="D62" s="83"/>
      <c r="E62" s="83"/>
      <c r="F62" s="83"/>
      <c r="G62" s="83"/>
      <c r="H62" s="33" t="str">
        <f t="shared" si="3"/>
        <v/>
      </c>
      <c r="I62" s="86"/>
    </row>
    <row r="63" spans="2:9" x14ac:dyDescent="0.3">
      <c r="B63" s="29" t="str">
        <f>IF(C63&lt;&gt;"",$B$8&amp;".5","")</f>
        <v/>
      </c>
      <c r="C63" s="83"/>
      <c r="D63" s="83"/>
      <c r="E63" s="83"/>
      <c r="F63" s="83"/>
      <c r="G63" s="83"/>
      <c r="H63" s="33" t="str">
        <f t="shared" si="3"/>
        <v/>
      </c>
      <c r="I63" s="86"/>
    </row>
    <row r="64" spans="2:9" x14ac:dyDescent="0.3">
      <c r="B64" s="29" t="str">
        <f>IF(C64&lt;&gt;"",$B$8&amp;".6","")</f>
        <v/>
      </c>
      <c r="C64" s="83"/>
      <c r="D64" s="83"/>
      <c r="E64" s="83"/>
      <c r="F64" s="83"/>
      <c r="G64" s="83"/>
      <c r="H64" s="33" t="str">
        <f t="shared" si="3"/>
        <v/>
      </c>
      <c r="I64" s="86"/>
    </row>
    <row r="65" spans="2:9" x14ac:dyDescent="0.3">
      <c r="B65" s="29" t="str">
        <f>IF(C65&lt;&gt;"",$B$8&amp;".7","")</f>
        <v/>
      </c>
      <c r="C65" s="83"/>
      <c r="D65" s="83"/>
      <c r="E65" s="83"/>
      <c r="F65" s="83"/>
      <c r="G65" s="83"/>
      <c r="H65" s="33" t="str">
        <f t="shared" si="3"/>
        <v/>
      </c>
      <c r="I65" s="86"/>
    </row>
    <row r="66" spans="2:9" x14ac:dyDescent="0.3">
      <c r="B66" s="29" t="str">
        <f>IF(C66&lt;&gt;"",$B$8&amp;".8","")</f>
        <v/>
      </c>
      <c r="C66" s="83"/>
      <c r="D66" s="83"/>
      <c r="E66" s="83"/>
      <c r="F66" s="83"/>
      <c r="G66" s="83"/>
      <c r="H66" s="33" t="str">
        <f t="shared" si="3"/>
        <v/>
      </c>
      <c r="I66" s="86"/>
    </row>
    <row r="67" spans="2:9" x14ac:dyDescent="0.3">
      <c r="B67" s="29" t="str">
        <f>IF(C67&lt;&gt;"",$B$8&amp;".9","")</f>
        <v/>
      </c>
      <c r="C67" s="83"/>
      <c r="D67" s="83"/>
      <c r="E67" s="83"/>
      <c r="F67" s="83"/>
      <c r="G67" s="83"/>
      <c r="H67" s="33" t="str">
        <f t="shared" si="3"/>
        <v/>
      </c>
      <c r="I67" s="86"/>
    </row>
    <row r="68" spans="2:9" ht="15" thickBot="1" x14ac:dyDescent="0.35">
      <c r="B68" s="30" t="str">
        <f>IF(C68&lt;&gt;"",$B$8&amp;".10","")</f>
        <v/>
      </c>
      <c r="C68" s="73"/>
      <c r="D68" s="73"/>
      <c r="E68" s="73"/>
      <c r="F68" s="73"/>
      <c r="G68" s="73"/>
      <c r="H68" s="34" t="str">
        <f>IF(F68&lt;&gt;"",F68*G68,"")</f>
        <v/>
      </c>
      <c r="I68" s="92"/>
    </row>
    <row r="69" spans="2:9" ht="15" thickBot="1" x14ac:dyDescent="0.35">
      <c r="B69" s="5"/>
      <c r="C69" s="5"/>
      <c r="D69" s="5"/>
      <c r="E69" s="5"/>
      <c r="F69" s="5"/>
      <c r="G69" s="5"/>
      <c r="H69" s="5"/>
      <c r="I69" s="117"/>
    </row>
    <row r="70" spans="2:9" ht="18.600000000000001" thickBot="1" x14ac:dyDescent="0.4">
      <c r="B70" s="202" t="str">
        <f>IF('Etap 1 - testowanie'!$C$9&lt;&gt;"",B9&amp;": "&amp;  'Etap 1 - testowanie'!$C$9,"")</f>
        <v/>
      </c>
      <c r="C70" s="203"/>
      <c r="D70" s="203"/>
      <c r="E70" s="203"/>
      <c r="F70" s="203"/>
      <c r="G70" s="203"/>
      <c r="H70" s="203"/>
      <c r="I70" s="204"/>
    </row>
    <row r="71" spans="2:9" x14ac:dyDescent="0.3">
      <c r="B71" s="27" t="s">
        <v>0</v>
      </c>
      <c r="C71" s="28" t="s">
        <v>14</v>
      </c>
      <c r="D71" s="28" t="s">
        <v>2</v>
      </c>
      <c r="E71" s="28" t="s">
        <v>3</v>
      </c>
      <c r="F71" s="28" t="s">
        <v>13</v>
      </c>
      <c r="G71" s="28" t="s">
        <v>4</v>
      </c>
      <c r="H71" s="28" t="s">
        <v>5</v>
      </c>
      <c r="I71" s="124" t="s">
        <v>6</v>
      </c>
    </row>
    <row r="72" spans="2:9" x14ac:dyDescent="0.3">
      <c r="B72" s="29" t="str">
        <f>IF(C72&lt;&gt;"",$B$9&amp;".1","")</f>
        <v/>
      </c>
      <c r="C72" s="83"/>
      <c r="D72" s="83"/>
      <c r="E72" s="83"/>
      <c r="F72" s="83"/>
      <c r="G72" s="83"/>
      <c r="H72" s="33" t="str">
        <f>IF(F72&lt;&gt;"",F72*G72,"")</f>
        <v/>
      </c>
      <c r="I72" s="86"/>
    </row>
    <row r="73" spans="2:9" x14ac:dyDescent="0.3">
      <c r="B73" s="29" t="str">
        <f>IF(C73&lt;&gt;"",$B$9&amp;".2","")</f>
        <v/>
      </c>
      <c r="C73" s="83"/>
      <c r="D73" s="83"/>
      <c r="E73" s="83"/>
      <c r="F73" s="83"/>
      <c r="G73" s="83"/>
      <c r="H73" s="33" t="str">
        <f t="shared" ref="H73:H80" si="4">IF(F73&lt;&gt;"",F73*G73,"")</f>
        <v/>
      </c>
      <c r="I73" s="86"/>
    </row>
    <row r="74" spans="2:9" x14ac:dyDescent="0.3">
      <c r="B74" s="29" t="str">
        <f>IF(C74&lt;&gt;"",$B$9&amp;".3","")</f>
        <v/>
      </c>
      <c r="C74" s="83"/>
      <c r="D74" s="83"/>
      <c r="E74" s="83"/>
      <c r="F74" s="83"/>
      <c r="G74" s="83"/>
      <c r="H74" s="33" t="str">
        <f t="shared" si="4"/>
        <v/>
      </c>
      <c r="I74" s="86"/>
    </row>
    <row r="75" spans="2:9" x14ac:dyDescent="0.3">
      <c r="B75" s="29" t="str">
        <f>IF(C75&lt;&gt;"",$B$9&amp;".4","")</f>
        <v/>
      </c>
      <c r="C75" s="83"/>
      <c r="D75" s="83"/>
      <c r="E75" s="83"/>
      <c r="F75" s="83"/>
      <c r="G75" s="83"/>
      <c r="H75" s="33" t="str">
        <f t="shared" si="4"/>
        <v/>
      </c>
      <c r="I75" s="86"/>
    </row>
    <row r="76" spans="2:9" x14ac:dyDescent="0.3">
      <c r="B76" s="29" t="str">
        <f>IF(C76&lt;&gt;"",$B$9&amp;".5","")</f>
        <v/>
      </c>
      <c r="C76" s="83"/>
      <c r="D76" s="83"/>
      <c r="E76" s="83"/>
      <c r="F76" s="83"/>
      <c r="G76" s="83"/>
      <c r="H76" s="33" t="str">
        <f t="shared" si="4"/>
        <v/>
      </c>
      <c r="I76" s="86"/>
    </row>
    <row r="77" spans="2:9" x14ac:dyDescent="0.3">
      <c r="B77" s="29" t="str">
        <f>IF(C77&lt;&gt;"",$B$9&amp;".6","")</f>
        <v/>
      </c>
      <c r="C77" s="83"/>
      <c r="D77" s="83"/>
      <c r="E77" s="83"/>
      <c r="F77" s="83"/>
      <c r="G77" s="83"/>
      <c r="H77" s="33" t="str">
        <f t="shared" si="4"/>
        <v/>
      </c>
      <c r="I77" s="86"/>
    </row>
    <row r="78" spans="2:9" x14ac:dyDescent="0.3">
      <c r="B78" s="29" t="str">
        <f>IF(C78&lt;&gt;"",$B$9&amp;".7","")</f>
        <v/>
      </c>
      <c r="C78" s="83"/>
      <c r="D78" s="83"/>
      <c r="E78" s="83"/>
      <c r="F78" s="83"/>
      <c r="G78" s="83"/>
      <c r="H78" s="33" t="str">
        <f t="shared" si="4"/>
        <v/>
      </c>
      <c r="I78" s="86"/>
    </row>
    <row r="79" spans="2:9" x14ac:dyDescent="0.3">
      <c r="B79" s="29" t="str">
        <f>IF(C79&lt;&gt;"",$B$9&amp;".8","")</f>
        <v/>
      </c>
      <c r="C79" s="83"/>
      <c r="D79" s="83"/>
      <c r="E79" s="83"/>
      <c r="F79" s="83"/>
      <c r="G79" s="83"/>
      <c r="H79" s="33" t="str">
        <f t="shared" si="4"/>
        <v/>
      </c>
      <c r="I79" s="86"/>
    </row>
    <row r="80" spans="2:9" x14ac:dyDescent="0.3">
      <c r="B80" s="29" t="str">
        <f>IF(C80&lt;&gt;"",$B$9&amp;".9","")</f>
        <v/>
      </c>
      <c r="C80" s="83"/>
      <c r="D80" s="83"/>
      <c r="E80" s="83"/>
      <c r="F80" s="83"/>
      <c r="G80" s="83"/>
      <c r="H80" s="33" t="str">
        <f t="shared" si="4"/>
        <v/>
      </c>
      <c r="I80" s="86"/>
    </row>
    <row r="81" spans="2:9" ht="15" thickBot="1" x14ac:dyDescent="0.35">
      <c r="B81" s="30" t="str">
        <f>IF(C81&lt;&gt;"",$B$9&amp;".10","")</f>
        <v/>
      </c>
      <c r="C81" s="91"/>
      <c r="D81" s="91"/>
      <c r="E81" s="91"/>
      <c r="F81" s="91"/>
      <c r="G81" s="91"/>
      <c r="H81" s="34" t="str">
        <f>IF(F81&lt;&gt;"",F81*G81,"")</f>
        <v/>
      </c>
      <c r="I81" s="92"/>
    </row>
    <row r="82" spans="2:9" ht="15" thickBot="1" x14ac:dyDescent="0.35">
      <c r="B82" s="5"/>
      <c r="C82" s="5"/>
      <c r="D82" s="5"/>
      <c r="E82" s="5"/>
      <c r="F82" s="5"/>
      <c r="G82" s="5"/>
      <c r="H82" s="5"/>
      <c r="I82" s="117"/>
    </row>
    <row r="83" spans="2:9" ht="18.600000000000001" thickBot="1" x14ac:dyDescent="0.4">
      <c r="B83" s="202" t="str">
        <f>IF('Etap 1 - testowanie'!$C$10&lt;&gt;"",B10&amp;": "&amp;  'Etap 1 - testowanie'!$C$10,"")</f>
        <v/>
      </c>
      <c r="C83" s="203"/>
      <c r="D83" s="203"/>
      <c r="E83" s="203"/>
      <c r="F83" s="203"/>
      <c r="G83" s="203"/>
      <c r="H83" s="203"/>
      <c r="I83" s="204"/>
    </row>
    <row r="84" spans="2:9" x14ac:dyDescent="0.3">
      <c r="B84" s="27" t="s">
        <v>0</v>
      </c>
      <c r="C84" s="28" t="s">
        <v>14</v>
      </c>
      <c r="D84" s="28" t="s">
        <v>2</v>
      </c>
      <c r="E84" s="28" t="s">
        <v>3</v>
      </c>
      <c r="F84" s="28" t="s">
        <v>13</v>
      </c>
      <c r="G84" s="28" t="s">
        <v>4</v>
      </c>
      <c r="H84" s="28" t="s">
        <v>5</v>
      </c>
      <c r="I84" s="124" t="s">
        <v>6</v>
      </c>
    </row>
    <row r="85" spans="2:9" x14ac:dyDescent="0.3">
      <c r="B85" s="29" t="str">
        <f>IF(C85&lt;&gt;"",$B$10&amp;".1","")</f>
        <v/>
      </c>
      <c r="C85" s="83"/>
      <c r="D85" s="83"/>
      <c r="E85" s="83"/>
      <c r="F85" s="83"/>
      <c r="G85" s="83"/>
      <c r="H85" s="33" t="str">
        <f>IF(F85&lt;&gt;"",F85*G85,"")</f>
        <v/>
      </c>
      <c r="I85" s="86"/>
    </row>
    <row r="86" spans="2:9" x14ac:dyDescent="0.3">
      <c r="B86" s="29" t="str">
        <f>IF(C86&lt;&gt;"",$B$10&amp;".2","")</f>
        <v/>
      </c>
      <c r="C86" s="83"/>
      <c r="D86" s="83"/>
      <c r="E86" s="83"/>
      <c r="F86" s="83"/>
      <c r="G86" s="83"/>
      <c r="H86" s="33" t="str">
        <f t="shared" ref="H86:H94" si="5">IF(F86&lt;&gt;"",F86*G86,"")</f>
        <v/>
      </c>
      <c r="I86" s="86"/>
    </row>
    <row r="87" spans="2:9" x14ac:dyDescent="0.3">
      <c r="B87" s="29" t="str">
        <f>IF(C87&lt;&gt;"",$B$10&amp;".3","")</f>
        <v/>
      </c>
      <c r="C87" s="83"/>
      <c r="D87" s="83"/>
      <c r="E87" s="83"/>
      <c r="F87" s="83"/>
      <c r="G87" s="83"/>
      <c r="H87" s="33" t="str">
        <f t="shared" si="5"/>
        <v/>
      </c>
      <c r="I87" s="86"/>
    </row>
    <row r="88" spans="2:9" x14ac:dyDescent="0.3">
      <c r="B88" s="29" t="str">
        <f>IF(C88&lt;&gt;"",$B$10&amp;".4","")</f>
        <v/>
      </c>
      <c r="C88" s="83"/>
      <c r="D88" s="83"/>
      <c r="E88" s="83"/>
      <c r="F88" s="83"/>
      <c r="G88" s="83"/>
      <c r="H88" s="33" t="str">
        <f t="shared" si="5"/>
        <v/>
      </c>
      <c r="I88" s="86"/>
    </row>
    <row r="89" spans="2:9" x14ac:dyDescent="0.3">
      <c r="B89" s="29" t="str">
        <f>IF(C89&lt;&gt;"",$B$10&amp;".5","")</f>
        <v/>
      </c>
      <c r="C89" s="83"/>
      <c r="D89" s="83"/>
      <c r="E89" s="83"/>
      <c r="F89" s="83"/>
      <c r="G89" s="83"/>
      <c r="H89" s="33" t="str">
        <f t="shared" si="5"/>
        <v/>
      </c>
      <c r="I89" s="86"/>
    </row>
    <row r="90" spans="2:9" x14ac:dyDescent="0.3">
      <c r="B90" s="29" t="str">
        <f>IF(C90&lt;&gt;"",$B$10&amp;".6","")</f>
        <v/>
      </c>
      <c r="C90" s="83"/>
      <c r="D90" s="83"/>
      <c r="E90" s="83"/>
      <c r="F90" s="83"/>
      <c r="G90" s="83"/>
      <c r="H90" s="33" t="str">
        <f t="shared" si="5"/>
        <v/>
      </c>
      <c r="I90" s="86"/>
    </row>
    <row r="91" spans="2:9" x14ac:dyDescent="0.3">
      <c r="B91" s="29" t="str">
        <f>IF(C91&lt;&gt;"",$B$10&amp;".7","")</f>
        <v/>
      </c>
      <c r="C91" s="83"/>
      <c r="D91" s="83"/>
      <c r="E91" s="83"/>
      <c r="F91" s="83"/>
      <c r="G91" s="83"/>
      <c r="H91" s="33" t="str">
        <f t="shared" si="5"/>
        <v/>
      </c>
      <c r="I91" s="86"/>
    </row>
    <row r="92" spans="2:9" x14ac:dyDescent="0.3">
      <c r="B92" s="29" t="str">
        <f>IF(C92&lt;&gt;"",$B$10&amp;".8","")</f>
        <v/>
      </c>
      <c r="C92" s="83"/>
      <c r="D92" s="83"/>
      <c r="E92" s="83"/>
      <c r="F92" s="83"/>
      <c r="G92" s="83"/>
      <c r="H92" s="33" t="str">
        <f t="shared" si="5"/>
        <v/>
      </c>
      <c r="I92" s="86"/>
    </row>
    <row r="93" spans="2:9" x14ac:dyDescent="0.3">
      <c r="B93" s="29" t="str">
        <f>IF(C93&lt;&gt;"",$B$10&amp;".9","")</f>
        <v/>
      </c>
      <c r="C93" s="83"/>
      <c r="D93" s="83"/>
      <c r="E93" s="83"/>
      <c r="F93" s="83"/>
      <c r="G93" s="83"/>
      <c r="H93" s="33" t="str">
        <f t="shared" si="5"/>
        <v/>
      </c>
      <c r="I93" s="86"/>
    </row>
    <row r="94" spans="2:9" ht="15" thickBot="1" x14ac:dyDescent="0.35">
      <c r="B94" s="30" t="str">
        <f>IF(C94&lt;&gt;"",$B$10&amp;".10","")</f>
        <v/>
      </c>
      <c r="C94" s="91"/>
      <c r="D94" s="91"/>
      <c r="E94" s="91"/>
      <c r="F94" s="91"/>
      <c r="G94" s="91"/>
      <c r="H94" s="34" t="str">
        <f t="shared" si="5"/>
        <v/>
      </c>
      <c r="I94" s="92"/>
    </row>
    <row r="95" spans="2:9" ht="15" thickBot="1" x14ac:dyDescent="0.35">
      <c r="B95" s="5"/>
      <c r="C95" s="5"/>
      <c r="D95" s="5"/>
      <c r="E95" s="5"/>
      <c r="F95" s="5"/>
      <c r="G95" s="5"/>
      <c r="H95" s="5"/>
      <c r="I95" s="117"/>
    </row>
    <row r="96" spans="2:9" ht="18.600000000000001" thickBot="1" x14ac:dyDescent="0.4">
      <c r="B96" s="202" t="str">
        <f>IF('Etap 1 - testowanie'!$C$11&lt;&gt;"",B11&amp;": "&amp;  'Etap 1 - testowanie'!$C$11,"")</f>
        <v/>
      </c>
      <c r="C96" s="203"/>
      <c r="D96" s="203"/>
      <c r="E96" s="203"/>
      <c r="F96" s="203"/>
      <c r="G96" s="203"/>
      <c r="H96" s="203"/>
      <c r="I96" s="204"/>
    </row>
    <row r="97" spans="2:9" x14ac:dyDescent="0.3">
      <c r="B97" s="27" t="s">
        <v>0</v>
      </c>
      <c r="C97" s="28" t="s">
        <v>14</v>
      </c>
      <c r="D97" s="28" t="s">
        <v>2</v>
      </c>
      <c r="E97" s="28" t="s">
        <v>3</v>
      </c>
      <c r="F97" s="28" t="s">
        <v>13</v>
      </c>
      <c r="G97" s="28" t="s">
        <v>4</v>
      </c>
      <c r="H97" s="28" t="s">
        <v>5</v>
      </c>
      <c r="I97" s="124" t="s">
        <v>6</v>
      </c>
    </row>
    <row r="98" spans="2:9" x14ac:dyDescent="0.3">
      <c r="B98" s="29" t="str">
        <f>IF(C98&lt;&gt;"",$B$11&amp;".1","")</f>
        <v/>
      </c>
      <c r="C98" s="83"/>
      <c r="D98" s="83"/>
      <c r="E98" s="83"/>
      <c r="F98" s="83"/>
      <c r="G98" s="83"/>
      <c r="H98" s="33" t="str">
        <f>IF(F98&lt;&gt;"",F98*G98,"")</f>
        <v/>
      </c>
      <c r="I98" s="86"/>
    </row>
    <row r="99" spans="2:9" x14ac:dyDescent="0.3">
      <c r="B99" s="29" t="str">
        <f>IF(C99&lt;&gt;"",$B$11&amp;".2","")</f>
        <v/>
      </c>
      <c r="C99" s="83"/>
      <c r="D99" s="83"/>
      <c r="E99" s="83"/>
      <c r="F99" s="83"/>
      <c r="G99" s="83"/>
      <c r="H99" s="33" t="str">
        <f t="shared" ref="H99:H106" si="6">IF(F99&lt;&gt;"",F99*G99,"")</f>
        <v/>
      </c>
      <c r="I99" s="86"/>
    </row>
    <row r="100" spans="2:9" x14ac:dyDescent="0.3">
      <c r="B100" s="29" t="str">
        <f>IF(C100&lt;&gt;"",$B$11&amp;".3","")</f>
        <v/>
      </c>
      <c r="C100" s="83"/>
      <c r="D100" s="83"/>
      <c r="E100" s="83"/>
      <c r="F100" s="83"/>
      <c r="G100" s="83"/>
      <c r="H100" s="33" t="str">
        <f t="shared" si="6"/>
        <v/>
      </c>
      <c r="I100" s="86"/>
    </row>
    <row r="101" spans="2:9" x14ac:dyDescent="0.3">
      <c r="B101" s="29" t="str">
        <f>IF(C101&lt;&gt;"",$B$11&amp;".4","")</f>
        <v/>
      </c>
      <c r="C101" s="83"/>
      <c r="D101" s="83"/>
      <c r="E101" s="83"/>
      <c r="F101" s="83"/>
      <c r="G101" s="83"/>
      <c r="H101" s="33" t="str">
        <f t="shared" si="6"/>
        <v/>
      </c>
      <c r="I101" s="86"/>
    </row>
    <row r="102" spans="2:9" x14ac:dyDescent="0.3">
      <c r="B102" s="29" t="str">
        <f>IF(C102&lt;&gt;"",$B$11&amp;".5","")</f>
        <v/>
      </c>
      <c r="C102" s="83"/>
      <c r="D102" s="83"/>
      <c r="E102" s="83"/>
      <c r="F102" s="83"/>
      <c r="G102" s="83"/>
      <c r="H102" s="33" t="str">
        <f t="shared" si="6"/>
        <v/>
      </c>
      <c r="I102" s="86"/>
    </row>
    <row r="103" spans="2:9" x14ac:dyDescent="0.3">
      <c r="B103" s="29" t="str">
        <f>IF(C103&lt;&gt;"",$B$11&amp;".6","")</f>
        <v/>
      </c>
      <c r="C103" s="83"/>
      <c r="D103" s="83"/>
      <c r="E103" s="83"/>
      <c r="F103" s="83"/>
      <c r="G103" s="83"/>
      <c r="H103" s="33" t="str">
        <f t="shared" si="6"/>
        <v/>
      </c>
      <c r="I103" s="86"/>
    </row>
    <row r="104" spans="2:9" x14ac:dyDescent="0.3">
      <c r="B104" s="29" t="str">
        <f>IF(C104&lt;&gt;"",$B$11&amp;".7","")</f>
        <v/>
      </c>
      <c r="C104" s="83"/>
      <c r="D104" s="83"/>
      <c r="E104" s="83"/>
      <c r="F104" s="83"/>
      <c r="G104" s="83"/>
      <c r="H104" s="33" t="str">
        <f t="shared" si="6"/>
        <v/>
      </c>
      <c r="I104" s="86"/>
    </row>
    <row r="105" spans="2:9" x14ac:dyDescent="0.3">
      <c r="B105" s="29" t="str">
        <f>IF(C105&lt;&gt;"",$B$11&amp;".8","")</f>
        <v/>
      </c>
      <c r="C105" s="83"/>
      <c r="D105" s="83"/>
      <c r="E105" s="83"/>
      <c r="F105" s="83"/>
      <c r="G105" s="83"/>
      <c r="H105" s="33" t="str">
        <f t="shared" si="6"/>
        <v/>
      </c>
      <c r="I105" s="86"/>
    </row>
    <row r="106" spans="2:9" x14ac:dyDescent="0.3">
      <c r="B106" s="29" t="str">
        <f>IF(C106&lt;&gt;"",$B$11&amp;".9","")</f>
        <v/>
      </c>
      <c r="C106" s="83"/>
      <c r="D106" s="83"/>
      <c r="E106" s="83"/>
      <c r="F106" s="83"/>
      <c r="G106" s="83"/>
      <c r="H106" s="33" t="str">
        <f t="shared" si="6"/>
        <v/>
      </c>
      <c r="I106" s="86"/>
    </row>
    <row r="107" spans="2:9" ht="15" thickBot="1" x14ac:dyDescent="0.35">
      <c r="B107" s="30" t="str">
        <f>IF(C107&lt;&gt;"",$B$11&amp;".10","")</f>
        <v/>
      </c>
      <c r="C107" s="91"/>
      <c r="D107" s="91"/>
      <c r="E107" s="91"/>
      <c r="F107" s="91"/>
      <c r="G107" s="91"/>
      <c r="H107" s="34" t="str">
        <f>IF(F107&lt;&gt;"",F107*G107,"")</f>
        <v/>
      </c>
      <c r="I107" s="92"/>
    </row>
    <row r="108" spans="2:9" ht="15" thickBot="1" x14ac:dyDescent="0.35">
      <c r="B108" s="5"/>
      <c r="C108" s="5"/>
      <c r="D108" s="5"/>
      <c r="E108" s="5"/>
      <c r="F108" s="5"/>
      <c r="G108" s="5"/>
      <c r="H108" s="5"/>
      <c r="I108" s="117"/>
    </row>
    <row r="109" spans="2:9" ht="18.600000000000001" thickBot="1" x14ac:dyDescent="0.4">
      <c r="B109" s="202" t="str">
        <f>IF('Etap 1 - testowanie'!$C$12&lt;&gt;"",B12&amp;": "&amp;  'Etap 1 - testowanie'!$C$12,"")</f>
        <v/>
      </c>
      <c r="C109" s="203"/>
      <c r="D109" s="203"/>
      <c r="E109" s="203"/>
      <c r="F109" s="203"/>
      <c r="G109" s="203"/>
      <c r="H109" s="203"/>
      <c r="I109" s="204"/>
    </row>
    <row r="110" spans="2:9" x14ac:dyDescent="0.3">
      <c r="B110" s="27" t="s">
        <v>0</v>
      </c>
      <c r="C110" s="28" t="s">
        <v>14</v>
      </c>
      <c r="D110" s="28" t="s">
        <v>2</v>
      </c>
      <c r="E110" s="28" t="s">
        <v>3</v>
      </c>
      <c r="F110" s="28" t="s">
        <v>13</v>
      </c>
      <c r="G110" s="28" t="s">
        <v>4</v>
      </c>
      <c r="H110" s="28" t="s">
        <v>5</v>
      </c>
      <c r="I110" s="124" t="s">
        <v>6</v>
      </c>
    </row>
    <row r="111" spans="2:9" x14ac:dyDescent="0.3">
      <c r="B111" s="29" t="str">
        <f>IF(C111&lt;&gt;"",$B$12&amp;".1","")</f>
        <v/>
      </c>
      <c r="C111" s="83"/>
      <c r="D111" s="83"/>
      <c r="E111" s="83"/>
      <c r="F111" s="83"/>
      <c r="G111" s="83"/>
      <c r="H111" s="33" t="str">
        <f>IF(F111&lt;&gt;"",F111*G111,"")</f>
        <v/>
      </c>
      <c r="I111" s="86"/>
    </row>
    <row r="112" spans="2:9" x14ac:dyDescent="0.3">
      <c r="B112" s="29" t="str">
        <f>IF(C112&lt;&gt;"",$B$12&amp;".2","")</f>
        <v/>
      </c>
      <c r="C112" s="83"/>
      <c r="D112" s="83"/>
      <c r="E112" s="83"/>
      <c r="F112" s="83"/>
      <c r="G112" s="83"/>
      <c r="H112" s="33" t="str">
        <f t="shared" ref="H112:H120" si="7">IF(F112&lt;&gt;"",F112*G112,"")</f>
        <v/>
      </c>
      <c r="I112" s="86"/>
    </row>
    <row r="113" spans="2:9" x14ac:dyDescent="0.3">
      <c r="B113" s="29" t="str">
        <f>IF(C113&lt;&gt;"",$B$12&amp;".3","")</f>
        <v/>
      </c>
      <c r="C113" s="83"/>
      <c r="D113" s="83"/>
      <c r="E113" s="83"/>
      <c r="F113" s="83"/>
      <c r="G113" s="83"/>
      <c r="H113" s="33" t="str">
        <f t="shared" si="7"/>
        <v/>
      </c>
      <c r="I113" s="86"/>
    </row>
    <row r="114" spans="2:9" x14ac:dyDescent="0.3">
      <c r="B114" s="29" t="str">
        <f>IF(C114&lt;&gt;"",$B$12&amp;".4","")</f>
        <v/>
      </c>
      <c r="C114" s="83"/>
      <c r="D114" s="83"/>
      <c r="E114" s="83"/>
      <c r="F114" s="83"/>
      <c r="G114" s="83"/>
      <c r="H114" s="33" t="str">
        <f t="shared" si="7"/>
        <v/>
      </c>
      <c r="I114" s="86"/>
    </row>
    <row r="115" spans="2:9" x14ac:dyDescent="0.3">
      <c r="B115" s="29" t="str">
        <f>IF(C115&lt;&gt;"",$B$12&amp;".5","")</f>
        <v/>
      </c>
      <c r="C115" s="83"/>
      <c r="D115" s="83"/>
      <c r="E115" s="83"/>
      <c r="F115" s="83"/>
      <c r="G115" s="83"/>
      <c r="H115" s="33" t="str">
        <f t="shared" si="7"/>
        <v/>
      </c>
      <c r="I115" s="86"/>
    </row>
    <row r="116" spans="2:9" x14ac:dyDescent="0.3">
      <c r="B116" s="29" t="str">
        <f>IF(C116&lt;&gt;"",$B$12&amp;".6","")</f>
        <v/>
      </c>
      <c r="C116" s="83"/>
      <c r="D116" s="83"/>
      <c r="E116" s="83"/>
      <c r="F116" s="83"/>
      <c r="G116" s="83"/>
      <c r="H116" s="33" t="str">
        <f t="shared" si="7"/>
        <v/>
      </c>
      <c r="I116" s="86"/>
    </row>
    <row r="117" spans="2:9" x14ac:dyDescent="0.3">
      <c r="B117" s="29" t="str">
        <f>IF(C117&lt;&gt;"",$B$12&amp;".7","")</f>
        <v/>
      </c>
      <c r="C117" s="83"/>
      <c r="D117" s="83"/>
      <c r="E117" s="83"/>
      <c r="F117" s="83"/>
      <c r="G117" s="83"/>
      <c r="H117" s="33" t="str">
        <f t="shared" si="7"/>
        <v/>
      </c>
      <c r="I117" s="86"/>
    </row>
    <row r="118" spans="2:9" x14ac:dyDescent="0.3">
      <c r="B118" s="29" t="str">
        <f>IF(C118&lt;&gt;"",$B$12&amp;".8","")</f>
        <v/>
      </c>
      <c r="C118" s="83"/>
      <c r="D118" s="83"/>
      <c r="E118" s="83"/>
      <c r="F118" s="83"/>
      <c r="G118" s="83"/>
      <c r="H118" s="33" t="str">
        <f t="shared" si="7"/>
        <v/>
      </c>
      <c r="I118" s="86"/>
    </row>
    <row r="119" spans="2:9" x14ac:dyDescent="0.3">
      <c r="B119" s="29" t="str">
        <f>IF(C119&lt;&gt;"",$B$12&amp;".9","")</f>
        <v/>
      </c>
      <c r="C119" s="83"/>
      <c r="D119" s="83"/>
      <c r="E119" s="83"/>
      <c r="F119" s="83"/>
      <c r="G119" s="83"/>
      <c r="H119" s="33" t="str">
        <f t="shared" si="7"/>
        <v/>
      </c>
      <c r="I119" s="86"/>
    </row>
    <row r="120" spans="2:9" ht="15" thickBot="1" x14ac:dyDescent="0.35">
      <c r="B120" s="30" t="str">
        <f>IF(C120&lt;&gt;"",$B$12&amp;".10","")</f>
        <v/>
      </c>
      <c r="C120" s="91"/>
      <c r="D120" s="91"/>
      <c r="E120" s="91"/>
      <c r="F120" s="91"/>
      <c r="G120" s="91"/>
      <c r="H120" s="34" t="str">
        <f t="shared" si="7"/>
        <v/>
      </c>
      <c r="I120" s="92"/>
    </row>
    <row r="121" spans="2:9" ht="15" thickBot="1" x14ac:dyDescent="0.35">
      <c r="B121" s="5"/>
      <c r="C121" s="5"/>
      <c r="D121" s="5"/>
      <c r="E121" s="5"/>
      <c r="F121" s="5"/>
      <c r="G121" s="5"/>
      <c r="H121" s="5"/>
      <c r="I121" s="117"/>
    </row>
    <row r="122" spans="2:9" ht="18.600000000000001" thickBot="1" x14ac:dyDescent="0.4">
      <c r="B122" s="202" t="str">
        <f>IF('Etap 1 - testowanie'!$C$13&lt;&gt;"",B13&amp;": "&amp;  'Etap 1 - testowanie'!$C$13,"")</f>
        <v/>
      </c>
      <c r="C122" s="203"/>
      <c r="D122" s="203"/>
      <c r="E122" s="203"/>
      <c r="F122" s="203"/>
      <c r="G122" s="203"/>
      <c r="H122" s="203"/>
      <c r="I122" s="204"/>
    </row>
    <row r="123" spans="2:9" x14ac:dyDescent="0.3">
      <c r="B123" s="27" t="s">
        <v>0</v>
      </c>
      <c r="C123" s="28" t="s">
        <v>14</v>
      </c>
      <c r="D123" s="28" t="s">
        <v>2</v>
      </c>
      <c r="E123" s="28" t="s">
        <v>3</v>
      </c>
      <c r="F123" s="28" t="s">
        <v>13</v>
      </c>
      <c r="G123" s="28" t="s">
        <v>4</v>
      </c>
      <c r="H123" s="28" t="s">
        <v>5</v>
      </c>
      <c r="I123" s="124" t="s">
        <v>6</v>
      </c>
    </row>
    <row r="124" spans="2:9" x14ac:dyDescent="0.3">
      <c r="B124" s="29" t="str">
        <f>IF(C124&lt;&gt;"",$B$13&amp;".1","")</f>
        <v/>
      </c>
      <c r="C124" s="83"/>
      <c r="D124" s="83"/>
      <c r="E124" s="83"/>
      <c r="F124" s="83"/>
      <c r="G124" s="83"/>
      <c r="H124" s="33" t="str">
        <f>IF(F124&lt;&gt;"",F124*G124,"")</f>
        <v/>
      </c>
      <c r="I124" s="86"/>
    </row>
    <row r="125" spans="2:9" x14ac:dyDescent="0.3">
      <c r="B125" s="29" t="str">
        <f>IF(C125&lt;&gt;"",$B$13&amp;".2","")</f>
        <v/>
      </c>
      <c r="C125" s="83"/>
      <c r="D125" s="83"/>
      <c r="E125" s="83"/>
      <c r="F125" s="83"/>
      <c r="G125" s="83"/>
      <c r="H125" s="33" t="str">
        <f t="shared" ref="H125:H133" si="8">IF(F125&lt;&gt;"",F125*G125,"")</f>
        <v/>
      </c>
      <c r="I125" s="86"/>
    </row>
    <row r="126" spans="2:9" x14ac:dyDescent="0.3">
      <c r="B126" s="29" t="str">
        <f>IF(C126&lt;&gt;"",$B$13&amp;".3","")</f>
        <v/>
      </c>
      <c r="C126" s="83"/>
      <c r="D126" s="83"/>
      <c r="E126" s="83"/>
      <c r="F126" s="83"/>
      <c r="G126" s="83"/>
      <c r="H126" s="33" t="str">
        <f t="shared" si="8"/>
        <v/>
      </c>
      <c r="I126" s="86"/>
    </row>
    <row r="127" spans="2:9" x14ac:dyDescent="0.3">
      <c r="B127" s="29" t="str">
        <f>IF(C127&lt;&gt;"",$B$13&amp;".4","")</f>
        <v/>
      </c>
      <c r="C127" s="83"/>
      <c r="D127" s="83"/>
      <c r="E127" s="83"/>
      <c r="F127" s="83"/>
      <c r="G127" s="83"/>
      <c r="H127" s="33" t="str">
        <f t="shared" si="8"/>
        <v/>
      </c>
      <c r="I127" s="86"/>
    </row>
    <row r="128" spans="2:9" x14ac:dyDescent="0.3">
      <c r="B128" s="29" t="str">
        <f>IF(C128&lt;&gt;"",$B$13&amp;".5","")</f>
        <v/>
      </c>
      <c r="C128" s="83"/>
      <c r="D128" s="83"/>
      <c r="E128" s="83"/>
      <c r="F128" s="83"/>
      <c r="G128" s="83"/>
      <c r="H128" s="33" t="str">
        <f t="shared" si="8"/>
        <v/>
      </c>
      <c r="I128" s="86"/>
    </row>
    <row r="129" spans="2:9" x14ac:dyDescent="0.3">
      <c r="B129" s="29" t="str">
        <f>IF(C129&lt;&gt;"",$B$13&amp;".6","")</f>
        <v/>
      </c>
      <c r="C129" s="83"/>
      <c r="D129" s="83"/>
      <c r="E129" s="83"/>
      <c r="F129" s="83"/>
      <c r="G129" s="83"/>
      <c r="H129" s="33" t="str">
        <f t="shared" si="8"/>
        <v/>
      </c>
      <c r="I129" s="86"/>
    </row>
    <row r="130" spans="2:9" x14ac:dyDescent="0.3">
      <c r="B130" s="29" t="str">
        <f>IF(C130&lt;&gt;"",$B$13&amp;".7","")</f>
        <v/>
      </c>
      <c r="C130" s="83"/>
      <c r="D130" s="83"/>
      <c r="E130" s="83"/>
      <c r="F130" s="83"/>
      <c r="G130" s="83"/>
      <c r="H130" s="33" t="str">
        <f t="shared" si="8"/>
        <v/>
      </c>
      <c r="I130" s="86"/>
    </row>
    <row r="131" spans="2:9" x14ac:dyDescent="0.3">
      <c r="B131" s="29" t="str">
        <f>IF(C131&lt;&gt;"",$B$13&amp;".8","")</f>
        <v/>
      </c>
      <c r="C131" s="83"/>
      <c r="D131" s="83"/>
      <c r="E131" s="83"/>
      <c r="F131" s="83"/>
      <c r="G131" s="83"/>
      <c r="H131" s="33" t="str">
        <f t="shared" si="8"/>
        <v/>
      </c>
      <c r="I131" s="86"/>
    </row>
    <row r="132" spans="2:9" x14ac:dyDescent="0.3">
      <c r="B132" s="29" t="str">
        <f>IF(C132&lt;&gt;"",$B$13&amp;".9","")</f>
        <v/>
      </c>
      <c r="C132" s="83"/>
      <c r="D132" s="83"/>
      <c r="E132" s="83"/>
      <c r="F132" s="83"/>
      <c r="G132" s="83"/>
      <c r="H132" s="33" t="str">
        <f t="shared" si="8"/>
        <v/>
      </c>
      <c r="I132" s="86"/>
    </row>
    <row r="133" spans="2:9" ht="15" thickBot="1" x14ac:dyDescent="0.35">
      <c r="B133" s="30" t="str">
        <f>IF(C133&lt;&gt;"",$B$13&amp;".10","")</f>
        <v/>
      </c>
      <c r="C133" s="91"/>
      <c r="D133" s="91"/>
      <c r="E133" s="91"/>
      <c r="F133" s="91"/>
      <c r="G133" s="91"/>
      <c r="H133" s="34" t="str">
        <f t="shared" si="8"/>
        <v/>
      </c>
      <c r="I133" s="92"/>
    </row>
    <row r="134" spans="2:9" ht="15" thickBot="1" x14ac:dyDescent="0.35">
      <c r="B134" s="5"/>
      <c r="C134" s="5"/>
      <c r="D134" s="5"/>
      <c r="E134" s="5"/>
      <c r="F134" s="5"/>
      <c r="G134" s="5"/>
      <c r="H134" s="5"/>
      <c r="I134" s="117"/>
    </row>
    <row r="135" spans="2:9" ht="18.600000000000001" thickBot="1" x14ac:dyDescent="0.4">
      <c r="B135" s="202" t="str">
        <f>IF('Etap 1 - testowanie'!$C$14&lt;&gt;"",B14&amp;": "&amp;  'Etap 1 - testowanie'!$C$14,"")</f>
        <v/>
      </c>
      <c r="C135" s="203"/>
      <c r="D135" s="203"/>
      <c r="E135" s="203"/>
      <c r="F135" s="203"/>
      <c r="G135" s="203"/>
      <c r="H135" s="203"/>
      <c r="I135" s="204"/>
    </row>
    <row r="136" spans="2:9" x14ac:dyDescent="0.3">
      <c r="B136" s="27" t="s">
        <v>0</v>
      </c>
      <c r="C136" s="28" t="s">
        <v>14</v>
      </c>
      <c r="D136" s="28" t="s">
        <v>2</v>
      </c>
      <c r="E136" s="28" t="s">
        <v>3</v>
      </c>
      <c r="F136" s="28" t="s">
        <v>13</v>
      </c>
      <c r="G136" s="28" t="s">
        <v>4</v>
      </c>
      <c r="H136" s="28" t="s">
        <v>5</v>
      </c>
      <c r="I136" s="124" t="s">
        <v>6</v>
      </c>
    </row>
    <row r="137" spans="2:9" x14ac:dyDescent="0.3">
      <c r="B137" s="29" t="str">
        <f>IF(C137&lt;&gt;"",$B$14&amp;".1","")</f>
        <v/>
      </c>
      <c r="C137" s="83"/>
      <c r="D137" s="83"/>
      <c r="E137" s="83"/>
      <c r="F137" s="83"/>
      <c r="G137" s="83"/>
      <c r="H137" s="33" t="str">
        <f>IF(F137&lt;&gt;"",F137*G137,"")</f>
        <v/>
      </c>
      <c r="I137" s="86"/>
    </row>
    <row r="138" spans="2:9" x14ac:dyDescent="0.3">
      <c r="B138" s="29" t="str">
        <f>IF(C138&lt;&gt;"",$B$14&amp;".2","")</f>
        <v/>
      </c>
      <c r="C138" s="83"/>
      <c r="D138" s="83"/>
      <c r="E138" s="83"/>
      <c r="F138" s="83"/>
      <c r="G138" s="83"/>
      <c r="H138" s="33" t="str">
        <f t="shared" ref="H138:H146" si="9">IF(F138&lt;&gt;"",F138*G138,"")</f>
        <v/>
      </c>
      <c r="I138" s="86"/>
    </row>
    <row r="139" spans="2:9" x14ac:dyDescent="0.3">
      <c r="B139" s="29" t="str">
        <f>IF(C139&lt;&gt;"",$B$14&amp;".3","")</f>
        <v/>
      </c>
      <c r="C139" s="83"/>
      <c r="D139" s="83"/>
      <c r="E139" s="83"/>
      <c r="F139" s="83"/>
      <c r="G139" s="83"/>
      <c r="H139" s="33" t="str">
        <f t="shared" si="9"/>
        <v/>
      </c>
      <c r="I139" s="86"/>
    </row>
    <row r="140" spans="2:9" x14ac:dyDescent="0.3">
      <c r="B140" s="29" t="str">
        <f>IF(C140&lt;&gt;"",$B$14&amp;".4","")</f>
        <v/>
      </c>
      <c r="C140" s="83"/>
      <c r="D140" s="83"/>
      <c r="E140" s="83"/>
      <c r="F140" s="83"/>
      <c r="G140" s="83"/>
      <c r="H140" s="33" t="str">
        <f t="shared" si="9"/>
        <v/>
      </c>
      <c r="I140" s="86"/>
    </row>
    <row r="141" spans="2:9" x14ac:dyDescent="0.3">
      <c r="B141" s="29" t="str">
        <f>IF(C141&lt;&gt;"",$B$14&amp;".5","")</f>
        <v/>
      </c>
      <c r="C141" s="83"/>
      <c r="D141" s="83"/>
      <c r="E141" s="83"/>
      <c r="F141" s="83"/>
      <c r="G141" s="83"/>
      <c r="H141" s="33" t="str">
        <f t="shared" si="9"/>
        <v/>
      </c>
      <c r="I141" s="86"/>
    </row>
    <row r="142" spans="2:9" x14ac:dyDescent="0.3">
      <c r="B142" s="29" t="str">
        <f>IF(C142&lt;&gt;"",$B$14&amp;".6","")</f>
        <v/>
      </c>
      <c r="C142" s="83"/>
      <c r="D142" s="83"/>
      <c r="E142" s="83"/>
      <c r="F142" s="83"/>
      <c r="G142" s="83"/>
      <c r="H142" s="33" t="str">
        <f t="shared" si="9"/>
        <v/>
      </c>
      <c r="I142" s="86"/>
    </row>
    <row r="143" spans="2:9" x14ac:dyDescent="0.3">
      <c r="B143" s="29" t="str">
        <f>IF(C143&lt;&gt;"",$B$14&amp;".7","")</f>
        <v/>
      </c>
      <c r="C143" s="83"/>
      <c r="D143" s="83"/>
      <c r="E143" s="83"/>
      <c r="F143" s="83"/>
      <c r="G143" s="83"/>
      <c r="H143" s="33" t="str">
        <f t="shared" si="9"/>
        <v/>
      </c>
      <c r="I143" s="86"/>
    </row>
    <row r="144" spans="2:9" x14ac:dyDescent="0.3">
      <c r="B144" s="29" t="str">
        <f>IF(C144&lt;&gt;"",$B$14&amp;".8","")</f>
        <v/>
      </c>
      <c r="C144" s="83"/>
      <c r="D144" s="83"/>
      <c r="E144" s="83"/>
      <c r="F144" s="83"/>
      <c r="G144" s="83"/>
      <c r="H144" s="33" t="str">
        <f t="shared" si="9"/>
        <v/>
      </c>
      <c r="I144" s="86"/>
    </row>
    <row r="145" spans="2:9" x14ac:dyDescent="0.3">
      <c r="B145" s="29" t="str">
        <f>IF(C145&lt;&gt;"",$B$14&amp;".9","")</f>
        <v/>
      </c>
      <c r="C145" s="83"/>
      <c r="D145" s="83"/>
      <c r="E145" s="83"/>
      <c r="F145" s="83"/>
      <c r="G145" s="83"/>
      <c r="H145" s="33" t="str">
        <f t="shared" si="9"/>
        <v/>
      </c>
      <c r="I145" s="86"/>
    </row>
    <row r="146" spans="2:9" ht="15" thickBot="1" x14ac:dyDescent="0.35">
      <c r="B146" s="30" t="str">
        <f>IF(C146&lt;&gt;"",$B$14&amp;".10","")</f>
        <v/>
      </c>
      <c r="C146" s="91"/>
      <c r="D146" s="91"/>
      <c r="E146" s="91"/>
      <c r="F146" s="91"/>
      <c r="G146" s="91"/>
      <c r="H146" s="34" t="str">
        <f t="shared" si="9"/>
        <v/>
      </c>
      <c r="I146" s="92"/>
    </row>
  </sheetData>
  <sheetProtection algorithmName="SHA-512" hashValue="NlkqxnXHHwKtOYOuJ0GEF9ZghYVVFXzIA2QEfNuNQ+5sMm4W6R79pjOE+Pag7a2H6zLG99dcs3KMZtNVP7TPvQ==" saltValue="SYT3Eita5Pz16DJsfqS8JQ==" spinCount="100000" sheet="1" selectLockedCells="1"/>
  <mergeCells count="12">
    <mergeCell ref="B3:F3"/>
    <mergeCell ref="B109:I109"/>
    <mergeCell ref="B122:I122"/>
    <mergeCell ref="B135:I135"/>
    <mergeCell ref="B70:I70"/>
    <mergeCell ref="B83:I83"/>
    <mergeCell ref="B96:I96"/>
    <mergeCell ref="B44:I44"/>
    <mergeCell ref="B57:I57"/>
    <mergeCell ref="B31:I31"/>
    <mergeCell ref="B16:I16"/>
    <mergeCell ref="B18:I18"/>
  </mergeCells>
  <conditionalFormatting sqref="B18:I19 B24:I29 B20:B23 D20:E23 H20:H23">
    <cfRule type="expression" dxfId="45" priority="10">
      <formula>$C$5=""</formula>
    </cfRule>
  </conditionalFormatting>
  <conditionalFormatting sqref="B31:I42">
    <cfRule type="expression" dxfId="44" priority="9">
      <formula>$C$6=""</formula>
    </cfRule>
  </conditionalFormatting>
  <conditionalFormatting sqref="B44:I55">
    <cfRule type="expression" dxfId="43" priority="8">
      <formula>$C$7=""</formula>
    </cfRule>
  </conditionalFormatting>
  <conditionalFormatting sqref="B57:I68">
    <cfRule type="expression" dxfId="42" priority="7">
      <formula>$C$8=""</formula>
    </cfRule>
  </conditionalFormatting>
  <conditionalFormatting sqref="B70:I81">
    <cfRule type="expression" dxfId="41" priority="6">
      <formula>$C$9=""</formula>
    </cfRule>
  </conditionalFormatting>
  <conditionalFormatting sqref="B83:I94">
    <cfRule type="expression" dxfId="40" priority="5">
      <formula>$C$10=""</formula>
    </cfRule>
  </conditionalFormatting>
  <conditionalFormatting sqref="B96:I107">
    <cfRule type="expression" dxfId="39" priority="4">
      <formula>$C$11=""</formula>
    </cfRule>
  </conditionalFormatting>
  <conditionalFormatting sqref="B109:I120">
    <cfRule type="expression" dxfId="38" priority="3">
      <formula>$C$12=""</formula>
    </cfRule>
  </conditionalFormatting>
  <conditionalFormatting sqref="B122:I133">
    <cfRule type="expression" dxfId="37" priority="2">
      <formula>$C$13=""</formula>
    </cfRule>
  </conditionalFormatting>
  <conditionalFormatting sqref="B135:I146">
    <cfRule type="expression" dxfId="36" priority="1">
      <formula>$C$14=""</formula>
    </cfRule>
  </conditionalFormatting>
  <dataValidations count="2">
    <dataValidation type="decimal" operator="greaterThanOrEqual" allowBlank="1" showInputMessage="1" showErrorMessage="1" errorTitle="Błąd" error="Podaj liczbę" sqref="F137:G146 F124:G133 F33:G42 F46:G55 F59:G68 F72:G81 F85:G94 F98:G107 F111:G120 F24:G29" xr:uid="{0C68E71C-A4D9-4E2F-B504-EEC84C7FB790}">
      <formula1>0</formula1>
    </dataValidation>
    <dataValidation type="date" allowBlank="1" showInputMessage="1" showErrorMessage="1" errorTitle="UWAGA" error="Podaj datę w formacie DD.MM.RRRR" promptTitle="UWAGA" prompt="Podaj datę w formacie DD.MM.RRRR" sqref="E6:F14" xr:uid="{C3DD3543-B514-4C10-8856-29212AB193AB}">
      <formula1>44652</formula1>
      <formula2>44926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wynagrodzenia_x000a_usługi obce_x000a_materiały" xr:uid="{3E84089B-72BC-4613-B9EF-FC59E68BEA37}">
          <x14:formula1>
            <xm:f>Robocze!$B$3:$B$6</xm:f>
          </x14:formula1>
          <xm:sqref>D20:D29 D124:D133 D33:D42 D46:D55 D59:D68 D72:D81 D85:D94 D98:D107 D111:D120 D137:D146</xm:sqref>
        </x14:dataValidation>
        <x14:dataValidation type="list" allowBlank="1" showInputMessage="1" showErrorMessage="1" errorTitle="Błąd" error="Nieznana kategoria wydatku" promptTitle="Wybierz z listy:" prompt="n/d_x000a_godzina_x000a_szt." xr:uid="{6CEC7FCA-5AA0-4070-AB36-E6758C398A1B}">
          <x14:formula1>
            <xm:f>Robocze!$C$3:$C$9</xm:f>
          </x14:formula1>
          <xm:sqref>E20:E29 E124:E133 E33:E42 E46:E55 E59:E68 E72:E81 E85:E94 E98:E107 E111:E120 E137:E146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0A043-AEFA-4F90-8F56-9C7E9CAC988D}">
  <sheetPr>
    <tabColor theme="9" tint="0.39997558519241921"/>
  </sheetPr>
  <dimension ref="B3:D53"/>
  <sheetViews>
    <sheetView topLeftCell="A10" zoomScale="91" zoomScaleNormal="91" workbookViewId="0">
      <selection activeCell="B30" sqref="B30:D31"/>
    </sheetView>
  </sheetViews>
  <sheetFormatPr defaultColWidth="30.88671875" defaultRowHeight="14.4" x14ac:dyDescent="0.3"/>
  <cols>
    <col min="1" max="1" width="5.5546875" style="123" customWidth="1"/>
    <col min="2" max="2" width="52" style="123" customWidth="1"/>
    <col min="3" max="3" width="44.33203125" style="123" customWidth="1"/>
    <col min="4" max="4" width="81.33203125" style="123" customWidth="1"/>
    <col min="5" max="16384" width="30.88671875" style="123"/>
  </cols>
  <sheetData>
    <row r="3" spans="2:4" ht="15" thickBot="1" x14ac:dyDescent="0.35"/>
    <row r="4" spans="2:4" ht="18" x14ac:dyDescent="0.35">
      <c r="B4" s="214" t="s">
        <v>141</v>
      </c>
      <c r="C4" s="215"/>
      <c r="D4" s="216"/>
    </row>
    <row r="5" spans="2:4" x14ac:dyDescent="0.3">
      <c r="B5" s="166" t="s">
        <v>154</v>
      </c>
      <c r="C5" s="167" t="s">
        <v>151</v>
      </c>
      <c r="D5" s="168" t="s">
        <v>142</v>
      </c>
    </row>
    <row r="6" spans="2:4" x14ac:dyDescent="0.3">
      <c r="B6" s="169"/>
      <c r="C6" s="153"/>
      <c r="D6" s="155"/>
    </row>
    <row r="7" spans="2:4" x14ac:dyDescent="0.3">
      <c r="B7" s="169"/>
      <c r="C7" s="153"/>
      <c r="D7" s="155"/>
    </row>
    <row r="8" spans="2:4" x14ac:dyDescent="0.3">
      <c r="B8" s="169"/>
      <c r="C8" s="153"/>
      <c r="D8" s="155"/>
    </row>
    <row r="9" spans="2:4" x14ac:dyDescent="0.3">
      <c r="B9" s="93"/>
      <c r="C9" s="83"/>
      <c r="D9" s="86"/>
    </row>
    <row r="10" spans="2:4" x14ac:dyDescent="0.3">
      <c r="B10" s="93"/>
      <c r="C10" s="83"/>
      <c r="D10" s="86"/>
    </row>
    <row r="11" spans="2:4" x14ac:dyDescent="0.3">
      <c r="B11" s="93"/>
      <c r="C11" s="83"/>
      <c r="D11" s="86"/>
    </row>
    <row r="12" spans="2:4" x14ac:dyDescent="0.3">
      <c r="B12" s="93"/>
      <c r="C12" s="83"/>
      <c r="D12" s="86"/>
    </row>
    <row r="13" spans="2:4" x14ac:dyDescent="0.3">
      <c r="B13" s="93"/>
      <c r="C13" s="83"/>
      <c r="D13" s="86"/>
    </row>
    <row r="14" spans="2:4" x14ac:dyDescent="0.3">
      <c r="B14" s="93"/>
      <c r="C14" s="83"/>
      <c r="D14" s="86"/>
    </row>
    <row r="15" spans="2:4" x14ac:dyDescent="0.3">
      <c r="B15" s="93"/>
      <c r="C15" s="83"/>
      <c r="D15" s="86"/>
    </row>
    <row r="16" spans="2:4" x14ac:dyDescent="0.3">
      <c r="B16" s="93"/>
      <c r="C16" s="83"/>
      <c r="D16" s="86"/>
    </row>
    <row r="17" spans="2:4" ht="15" thickBot="1" x14ac:dyDescent="0.35"/>
    <row r="18" spans="2:4" x14ac:dyDescent="0.3">
      <c r="B18" s="170" t="s">
        <v>155</v>
      </c>
      <c r="C18" s="171" t="s">
        <v>151</v>
      </c>
      <c r="D18" s="124" t="s">
        <v>142</v>
      </c>
    </row>
    <row r="19" spans="2:4" x14ac:dyDescent="0.3">
      <c r="B19" s="217"/>
      <c r="C19" s="220"/>
      <c r="D19" s="162"/>
    </row>
    <row r="20" spans="2:4" x14ac:dyDescent="0.3">
      <c r="B20" s="218"/>
      <c r="C20" s="221"/>
      <c r="D20" s="163"/>
    </row>
    <row r="21" spans="2:4" x14ac:dyDescent="0.3">
      <c r="B21" s="218"/>
      <c r="C21" s="221"/>
      <c r="D21" s="163"/>
    </row>
    <row r="22" spans="2:4" x14ac:dyDescent="0.3">
      <c r="B22" s="218"/>
      <c r="C22" s="221"/>
      <c r="D22" s="163"/>
    </row>
    <row r="23" spans="2:4" x14ac:dyDescent="0.3">
      <c r="B23" s="218"/>
      <c r="C23" s="221"/>
      <c r="D23" s="163"/>
    </row>
    <row r="24" spans="2:4" ht="15" thickBot="1" x14ac:dyDescent="0.35">
      <c r="B24" s="219"/>
      <c r="C24" s="222"/>
      <c r="D24" s="164"/>
    </row>
    <row r="25" spans="2:4" x14ac:dyDescent="0.3">
      <c r="B25" s="93"/>
      <c r="C25" s="83"/>
      <c r="D25" s="86"/>
    </row>
    <row r="26" spans="2:4" ht="15" thickBot="1" x14ac:dyDescent="0.35">
      <c r="B26" s="109"/>
      <c r="C26" s="91"/>
      <c r="D26" s="92"/>
    </row>
    <row r="27" spans="2:4" ht="15" thickBot="1" x14ac:dyDescent="0.35"/>
    <row r="28" spans="2:4" ht="18" x14ac:dyDescent="0.35">
      <c r="B28" s="211" t="s">
        <v>143</v>
      </c>
      <c r="C28" s="212"/>
      <c r="D28" s="213"/>
    </row>
    <row r="29" spans="2:4" x14ac:dyDescent="0.3">
      <c r="B29" s="166" t="s">
        <v>144</v>
      </c>
      <c r="C29" s="167" t="s">
        <v>145</v>
      </c>
      <c r="D29" s="168" t="s">
        <v>146</v>
      </c>
    </row>
    <row r="30" spans="2:4" x14ac:dyDescent="0.3">
      <c r="B30" s="172"/>
      <c r="C30" s="126"/>
      <c r="D30" s="165"/>
    </row>
    <row r="31" spans="2:4" x14ac:dyDescent="0.3">
      <c r="B31" s="172"/>
      <c r="C31" s="126"/>
      <c r="D31" s="165"/>
    </row>
    <row r="32" spans="2:4" x14ac:dyDescent="0.3">
      <c r="B32" s="125"/>
      <c r="C32" s="126"/>
      <c r="D32" s="94"/>
    </row>
    <row r="33" spans="2:4" ht="15" thickBot="1" x14ac:dyDescent="0.35">
      <c r="B33" s="127"/>
      <c r="C33" s="128"/>
      <c r="D33" s="95"/>
    </row>
    <row r="49" s="123" customFormat="1" x14ac:dyDescent="0.3"/>
    <row r="50" s="123" customFormat="1" x14ac:dyDescent="0.3"/>
    <row r="51" s="123" customFormat="1" x14ac:dyDescent="0.3"/>
    <row r="52" s="123" customFormat="1" x14ac:dyDescent="0.3"/>
    <row r="53" s="123" customFormat="1" x14ac:dyDescent="0.3"/>
  </sheetData>
  <sheetProtection algorithmName="SHA-512" hashValue="n7cziV9eo/vYbDTaj10wiU2FtM69+HKLJCGbhWHwfih82Cay+NrzBHlUIgemDbXC6ny2X9w06GeqzBZ1p9tJuQ==" saltValue="22+qw8lyCdvQ+hYrZYWq2g==" spinCount="100000" sheet="1" objects="1" scenarios="1" selectLockedCells="1"/>
  <mergeCells count="4">
    <mergeCell ref="B28:D28"/>
    <mergeCell ref="B4:D4"/>
    <mergeCell ref="B19:B24"/>
    <mergeCell ref="C19:C2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Uwaga" error="Wybierz z listy" promptTitle="Uwaga" prompt="Wybierz z listy" xr:uid="{68976CE9-F705-4B53-A448-FF6C531BF164}">
          <x14:formula1>
            <xm:f>Robocze!$D$3:$D$5</xm:f>
          </x14:formula1>
          <xm:sqref>C30:C33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FAF63-2C35-4FD8-A5DD-D1A38CA943C0}">
  <sheetPr>
    <tabColor theme="5" tint="0.39997558519241921"/>
  </sheetPr>
  <dimension ref="B2:J146"/>
  <sheetViews>
    <sheetView zoomScale="80" zoomScaleNormal="80" workbookViewId="0">
      <selection activeCell="F5" sqref="F5"/>
    </sheetView>
  </sheetViews>
  <sheetFormatPr defaultColWidth="30.88671875" defaultRowHeight="14.4" x14ac:dyDescent="0.3"/>
  <cols>
    <col min="1" max="1" width="5.5546875" style="3" customWidth="1"/>
    <col min="2" max="2" width="12.5546875" style="3" customWidth="1"/>
    <col min="3" max="3" width="109.44140625" style="123" customWidth="1"/>
    <col min="4" max="4" width="17.6640625" style="3" bestFit="1" customWidth="1"/>
    <col min="5" max="5" width="17.44140625" style="3" bestFit="1" customWidth="1"/>
    <col min="6" max="6" width="17.88671875" style="3" bestFit="1" customWidth="1"/>
    <col min="7" max="7" width="15.88671875" style="3" bestFit="1" customWidth="1"/>
    <col min="8" max="8" width="17.6640625" style="3" bestFit="1" customWidth="1"/>
    <col min="9" max="9" width="118" style="123" customWidth="1"/>
    <col min="10" max="10" width="5" style="3" customWidth="1"/>
    <col min="11" max="16384" width="30.88671875" style="3"/>
  </cols>
  <sheetData>
    <row r="2" spans="2:9" ht="15" thickBot="1" x14ac:dyDescent="0.35"/>
    <row r="3" spans="2:9" x14ac:dyDescent="0.3">
      <c r="B3" s="232" t="s">
        <v>180</v>
      </c>
      <c r="C3" s="233"/>
      <c r="D3" s="233"/>
      <c r="E3" s="233"/>
      <c r="F3" s="234"/>
    </row>
    <row r="4" spans="2:9" x14ac:dyDescent="0.3">
      <c r="B4" s="38" t="s">
        <v>21</v>
      </c>
      <c r="C4" s="130" t="s">
        <v>1</v>
      </c>
      <c r="D4" s="37" t="s">
        <v>15</v>
      </c>
      <c r="E4" s="37" t="s">
        <v>31</v>
      </c>
      <c r="F4" s="39" t="s">
        <v>32</v>
      </c>
    </row>
    <row r="5" spans="2:9" x14ac:dyDescent="0.3">
      <c r="B5" s="100" t="str">
        <f>IF(C5&lt;&gt;"","2."&amp;1,"")</f>
        <v/>
      </c>
      <c r="C5" s="83"/>
      <c r="D5" s="96" t="str">
        <f>IF(C5&lt;&gt;"",SUM('Etap 2 - prototyp'!H20:H29),"")</f>
        <v/>
      </c>
      <c r="E5" s="87"/>
      <c r="F5" s="88"/>
    </row>
    <row r="6" spans="2:9" x14ac:dyDescent="0.3">
      <c r="B6" s="100" t="str">
        <f>IF(C6&lt;&gt;"","2."&amp;2,"")</f>
        <v/>
      </c>
      <c r="C6" s="83"/>
      <c r="D6" s="96" t="str">
        <f>IF(C6&lt;&gt;"",SUM('Etap 2 - prototyp'!H33:H42),"")</f>
        <v/>
      </c>
      <c r="E6" s="87"/>
      <c r="F6" s="88"/>
    </row>
    <row r="7" spans="2:9" x14ac:dyDescent="0.3">
      <c r="B7" s="100" t="str">
        <f>IF(C7&lt;&gt;"","2."&amp;3,"")</f>
        <v/>
      </c>
      <c r="C7" s="83"/>
      <c r="D7" s="96" t="str">
        <f>IF(C7&lt;&gt;"",SUM('Etap 2 - prototyp'!H46:H55),"")</f>
        <v/>
      </c>
      <c r="E7" s="87"/>
      <c r="F7" s="88"/>
    </row>
    <row r="8" spans="2:9" x14ac:dyDescent="0.3">
      <c r="B8" s="100" t="str">
        <f>IF(C8&lt;&gt;"","2."&amp;4,"")</f>
        <v/>
      </c>
      <c r="C8" s="83"/>
      <c r="D8" s="96" t="str">
        <f>IF(C8&lt;&gt;"",SUM('Etap 2 - prototyp'!H59:H68),"")</f>
        <v/>
      </c>
      <c r="E8" s="87"/>
      <c r="F8" s="88"/>
    </row>
    <row r="9" spans="2:9" x14ac:dyDescent="0.3">
      <c r="B9" s="100" t="str">
        <f>IF(C9&lt;&gt;"","2."&amp;5,"")</f>
        <v/>
      </c>
      <c r="C9" s="83"/>
      <c r="D9" s="96" t="str">
        <f>IF(C9&lt;&gt;"",SUM('Etap 2 - prototyp'!H72:H81),"")</f>
        <v/>
      </c>
      <c r="E9" s="87"/>
      <c r="F9" s="88"/>
    </row>
    <row r="10" spans="2:9" x14ac:dyDescent="0.3">
      <c r="B10" s="100" t="str">
        <f>IF(C10&lt;&gt;"","2."&amp;6,"")</f>
        <v/>
      </c>
      <c r="C10" s="83"/>
      <c r="D10" s="96" t="str">
        <f>IF(C10&lt;&gt;"",SUM('Etap 2 - prototyp'!H85:H94),"")</f>
        <v/>
      </c>
      <c r="E10" s="87"/>
      <c r="F10" s="88"/>
    </row>
    <row r="11" spans="2:9" x14ac:dyDescent="0.3">
      <c r="B11" s="100" t="str">
        <f>IF(C11&lt;&gt;"","2."&amp;7,"")</f>
        <v/>
      </c>
      <c r="C11" s="83"/>
      <c r="D11" s="96" t="str">
        <f>IF(C11&lt;&gt;"",SUM('Etap 2 - prototyp'!H98:H107),"")</f>
        <v/>
      </c>
      <c r="E11" s="87"/>
      <c r="F11" s="88"/>
    </row>
    <row r="12" spans="2:9" x14ac:dyDescent="0.3">
      <c r="B12" s="100" t="str">
        <f>IF(C12&lt;&gt;"","2."&amp;8,"")</f>
        <v/>
      </c>
      <c r="C12" s="83"/>
      <c r="D12" s="96" t="str">
        <f>IF(C12&lt;&gt;"",SUM('Etap 2 - prototyp'!H111:H120),"")</f>
        <v/>
      </c>
      <c r="E12" s="87"/>
      <c r="F12" s="88"/>
    </row>
    <row r="13" spans="2:9" x14ac:dyDescent="0.3">
      <c r="B13" s="100" t="str">
        <f>IF(C13&lt;&gt;"","2."&amp;9,"")</f>
        <v/>
      </c>
      <c r="C13" s="83"/>
      <c r="D13" s="96" t="str">
        <f>IF(C13&lt;&gt;"",SUM('Etap 2 - prototyp'!H124:H133),"")</f>
        <v/>
      </c>
      <c r="E13" s="87"/>
      <c r="F13" s="88"/>
    </row>
    <row r="14" spans="2:9" ht="15" thickBot="1" x14ac:dyDescent="0.35">
      <c r="B14" s="101" t="str">
        <f>IF(C14&lt;&gt;"","2."&amp;10,"")</f>
        <v/>
      </c>
      <c r="C14" s="91"/>
      <c r="D14" s="97" t="str">
        <f>IF(C14&lt;&gt;"",SUM('Etap 2 - prototyp'!H137:H146),"")</f>
        <v/>
      </c>
      <c r="E14" s="89"/>
      <c r="F14" s="90"/>
    </row>
    <row r="15" spans="2:9" ht="15" thickBot="1" x14ac:dyDescent="0.35"/>
    <row r="16" spans="2:9" ht="26.4" thickBot="1" x14ac:dyDescent="0.35">
      <c r="B16" s="229" t="s">
        <v>178</v>
      </c>
      <c r="C16" s="230"/>
      <c r="D16" s="230"/>
      <c r="E16" s="230"/>
      <c r="F16" s="230"/>
      <c r="G16" s="230"/>
      <c r="H16" s="230"/>
      <c r="I16" s="231"/>
    </row>
    <row r="17" spans="2:10" ht="15" thickBot="1" x14ac:dyDescent="0.35"/>
    <row r="18" spans="2:10" ht="18.600000000000001" thickBot="1" x14ac:dyDescent="0.4">
      <c r="B18" s="223" t="str">
        <f>IF('Etap 2 - prototyp'!$C$5&lt;&gt;"",B5&amp;": "&amp;  'Etap 2 - prototyp'!$C$5,"")</f>
        <v/>
      </c>
      <c r="C18" s="224"/>
      <c r="D18" s="224"/>
      <c r="E18" s="224"/>
      <c r="F18" s="224"/>
      <c r="G18" s="224"/>
      <c r="H18" s="224"/>
      <c r="I18" s="225"/>
      <c r="J18" s="4"/>
    </row>
    <row r="19" spans="2:10" x14ac:dyDescent="0.3">
      <c r="B19" s="70" t="s">
        <v>0</v>
      </c>
      <c r="C19" s="131" t="s">
        <v>14</v>
      </c>
      <c r="D19" s="71" t="s">
        <v>2</v>
      </c>
      <c r="E19" s="71" t="s">
        <v>3</v>
      </c>
      <c r="F19" s="71" t="s">
        <v>13</v>
      </c>
      <c r="G19" s="71" t="s">
        <v>4</v>
      </c>
      <c r="H19" s="71" t="s">
        <v>5</v>
      </c>
      <c r="I19" s="129" t="s">
        <v>6</v>
      </c>
      <c r="J19" s="4"/>
    </row>
    <row r="20" spans="2:10" x14ac:dyDescent="0.3">
      <c r="B20" s="98" t="str">
        <f>IF(C20&lt;&gt;"","2.1.1","")</f>
        <v/>
      </c>
      <c r="C20" s="173"/>
      <c r="D20" s="83"/>
      <c r="E20" s="83"/>
      <c r="F20" s="83"/>
      <c r="G20" s="83"/>
      <c r="H20" s="96" t="str">
        <f>IF(F20&lt;&gt;"",F20*G20,"")</f>
        <v/>
      </c>
      <c r="I20" s="174"/>
      <c r="J20" s="5"/>
    </row>
    <row r="21" spans="2:10" x14ac:dyDescent="0.3">
      <c r="B21" s="98" t="str">
        <f>IF(C21&lt;&gt;"","2.1.2","")</f>
        <v/>
      </c>
      <c r="C21" s="173"/>
      <c r="D21" s="83"/>
      <c r="E21" s="83"/>
      <c r="F21" s="83"/>
      <c r="G21" s="83"/>
      <c r="H21" s="96" t="str">
        <f t="shared" ref="H21:H29" si="0">IF(F21&lt;&gt;"",F21*G21,"")</f>
        <v/>
      </c>
      <c r="I21" s="174"/>
      <c r="J21" s="5"/>
    </row>
    <row r="22" spans="2:10" x14ac:dyDescent="0.3">
      <c r="B22" s="98" t="str">
        <f>IF(C22&lt;&gt;"","2.1.3","")</f>
        <v/>
      </c>
      <c r="C22" s="83"/>
      <c r="D22" s="83"/>
      <c r="E22" s="83"/>
      <c r="F22" s="83"/>
      <c r="G22" s="83"/>
      <c r="H22" s="96" t="str">
        <f t="shared" si="0"/>
        <v/>
      </c>
      <c r="I22" s="86"/>
      <c r="J22" s="5"/>
    </row>
    <row r="23" spans="2:10" x14ac:dyDescent="0.3">
      <c r="B23" s="98" t="str">
        <f>IF(C23&lt;&gt;"","2.1.4","")</f>
        <v/>
      </c>
      <c r="C23" s="83"/>
      <c r="D23" s="83"/>
      <c r="E23" s="83"/>
      <c r="F23" s="83"/>
      <c r="G23" s="83"/>
      <c r="H23" s="96" t="str">
        <f t="shared" si="0"/>
        <v/>
      </c>
      <c r="I23" s="86"/>
      <c r="J23" s="5"/>
    </row>
    <row r="24" spans="2:10" x14ac:dyDescent="0.3">
      <c r="B24" s="98" t="str">
        <f>IF(C24&lt;&gt;"","2.1.5","")</f>
        <v/>
      </c>
      <c r="C24" s="83"/>
      <c r="D24" s="83"/>
      <c r="E24" s="83"/>
      <c r="F24" s="83"/>
      <c r="G24" s="83"/>
      <c r="H24" s="96" t="str">
        <f t="shared" si="0"/>
        <v/>
      </c>
      <c r="I24" s="86"/>
      <c r="J24" s="5"/>
    </row>
    <row r="25" spans="2:10" x14ac:dyDescent="0.3">
      <c r="B25" s="98" t="str">
        <f>IF(C25&lt;&gt;"","2.1.6","")</f>
        <v/>
      </c>
      <c r="C25" s="83"/>
      <c r="D25" s="83"/>
      <c r="E25" s="83"/>
      <c r="F25" s="83"/>
      <c r="G25" s="83"/>
      <c r="H25" s="96" t="str">
        <f t="shared" si="0"/>
        <v/>
      </c>
      <c r="I25" s="86"/>
      <c r="J25" s="5"/>
    </row>
    <row r="26" spans="2:10" x14ac:dyDescent="0.3">
      <c r="B26" s="98" t="str">
        <f>IF(C26&lt;&gt;"","2.1.7","")</f>
        <v/>
      </c>
      <c r="C26" s="83"/>
      <c r="D26" s="83"/>
      <c r="E26" s="83"/>
      <c r="F26" s="83"/>
      <c r="G26" s="83"/>
      <c r="H26" s="96" t="str">
        <f t="shared" si="0"/>
        <v/>
      </c>
      <c r="I26" s="86"/>
      <c r="J26" s="5"/>
    </row>
    <row r="27" spans="2:10" x14ac:dyDescent="0.3">
      <c r="B27" s="98" t="str">
        <f>IF(C27&lt;&gt;"","2.1.8","")</f>
        <v/>
      </c>
      <c r="C27" s="83"/>
      <c r="D27" s="83"/>
      <c r="E27" s="83"/>
      <c r="F27" s="83"/>
      <c r="G27" s="83"/>
      <c r="H27" s="96" t="str">
        <f t="shared" si="0"/>
        <v/>
      </c>
      <c r="I27" s="86"/>
      <c r="J27" s="5"/>
    </row>
    <row r="28" spans="2:10" x14ac:dyDescent="0.3">
      <c r="B28" s="98" t="str">
        <f>IF(C28&lt;&gt;"","2.1.9","")</f>
        <v/>
      </c>
      <c r="C28" s="83"/>
      <c r="D28" s="83"/>
      <c r="E28" s="83"/>
      <c r="F28" s="83"/>
      <c r="G28" s="83"/>
      <c r="H28" s="96" t="str">
        <f t="shared" si="0"/>
        <v/>
      </c>
      <c r="I28" s="86"/>
      <c r="J28" s="5"/>
    </row>
    <row r="29" spans="2:10" ht="15" thickBot="1" x14ac:dyDescent="0.35">
      <c r="B29" s="99" t="str">
        <f>IF(C29&lt;&gt;"","2.1.10","")</f>
        <v/>
      </c>
      <c r="C29" s="91"/>
      <c r="D29" s="91"/>
      <c r="E29" s="91"/>
      <c r="F29" s="91"/>
      <c r="G29" s="91"/>
      <c r="H29" s="97" t="str">
        <f t="shared" si="0"/>
        <v/>
      </c>
      <c r="I29" s="92"/>
      <c r="J29" s="5"/>
    </row>
    <row r="30" spans="2:10" ht="15" thickBot="1" x14ac:dyDescent="0.35">
      <c r="B30" s="5"/>
      <c r="C30" s="117"/>
      <c r="D30" s="5"/>
      <c r="E30" s="5"/>
      <c r="F30" s="5"/>
      <c r="G30" s="5"/>
      <c r="H30" s="5"/>
      <c r="I30" s="117"/>
      <c r="J30" s="5"/>
    </row>
    <row r="31" spans="2:10" ht="18.600000000000001" thickBot="1" x14ac:dyDescent="0.4">
      <c r="B31" s="226" t="str">
        <f>IF('Etap 2 - prototyp'!$C$6&lt;&gt;"", B6&amp;": "&amp;  'Etap 2 - prototyp'!$C$6,"")</f>
        <v/>
      </c>
      <c r="C31" s="227"/>
      <c r="D31" s="227"/>
      <c r="E31" s="227"/>
      <c r="F31" s="227"/>
      <c r="G31" s="227"/>
      <c r="H31" s="227"/>
      <c r="I31" s="228"/>
      <c r="J31" s="5"/>
    </row>
    <row r="32" spans="2:10" x14ac:dyDescent="0.3">
      <c r="B32" s="70" t="s">
        <v>0</v>
      </c>
      <c r="C32" s="131" t="s">
        <v>14</v>
      </c>
      <c r="D32" s="71" t="s">
        <v>2</v>
      </c>
      <c r="E32" s="71" t="s">
        <v>3</v>
      </c>
      <c r="F32" s="71" t="s">
        <v>13</v>
      </c>
      <c r="G32" s="71" t="s">
        <v>4</v>
      </c>
      <c r="H32" s="71" t="s">
        <v>5</v>
      </c>
      <c r="I32" s="129" t="s">
        <v>6</v>
      </c>
      <c r="J32" s="5"/>
    </row>
    <row r="33" spans="2:10" x14ac:dyDescent="0.3">
      <c r="B33" s="100" t="str">
        <f>IF(C33&lt;&gt;"","2.2.1","")</f>
        <v/>
      </c>
      <c r="C33" s="83"/>
      <c r="D33" s="83"/>
      <c r="E33" s="83"/>
      <c r="F33" s="83"/>
      <c r="G33" s="83"/>
      <c r="H33" s="96" t="str">
        <f>IF(F33&lt;&gt;"",F33*G33,"")</f>
        <v/>
      </c>
      <c r="I33" s="86"/>
      <c r="J33" s="5"/>
    </row>
    <row r="34" spans="2:10" x14ac:dyDescent="0.3">
      <c r="B34" s="100" t="str">
        <f>IF(C34&lt;&gt;"","2.2.2","")</f>
        <v/>
      </c>
      <c r="C34" s="83"/>
      <c r="D34" s="83"/>
      <c r="E34" s="83"/>
      <c r="F34" s="83"/>
      <c r="G34" s="83"/>
      <c r="H34" s="96" t="str">
        <f t="shared" ref="H34:H41" si="1">IF(F34&lt;&gt;"",F34*G34,"")</f>
        <v/>
      </c>
      <c r="I34" s="86"/>
      <c r="J34" s="5"/>
    </row>
    <row r="35" spans="2:10" x14ac:dyDescent="0.3">
      <c r="B35" s="100" t="str">
        <f>IF(C35&lt;&gt;"","2.2.3","")</f>
        <v/>
      </c>
      <c r="C35" s="83"/>
      <c r="D35" s="83"/>
      <c r="E35" s="83"/>
      <c r="F35" s="83"/>
      <c r="G35" s="83"/>
      <c r="H35" s="96" t="str">
        <f t="shared" si="1"/>
        <v/>
      </c>
      <c r="I35" s="86"/>
      <c r="J35" s="5"/>
    </row>
    <row r="36" spans="2:10" x14ac:dyDescent="0.3">
      <c r="B36" s="100" t="str">
        <f>IF(C36&lt;&gt;"","2.2.4","")</f>
        <v/>
      </c>
      <c r="C36" s="83"/>
      <c r="D36" s="83"/>
      <c r="E36" s="83"/>
      <c r="F36" s="83"/>
      <c r="G36" s="83"/>
      <c r="H36" s="96" t="str">
        <f t="shared" si="1"/>
        <v/>
      </c>
      <c r="I36" s="86"/>
      <c r="J36" s="5"/>
    </row>
    <row r="37" spans="2:10" x14ac:dyDescent="0.3">
      <c r="B37" s="100" t="str">
        <f>IF(C37&lt;&gt;"","2.2.5","")</f>
        <v/>
      </c>
      <c r="C37" s="83"/>
      <c r="D37" s="83"/>
      <c r="E37" s="83"/>
      <c r="F37" s="83"/>
      <c r="G37" s="83"/>
      <c r="H37" s="96" t="str">
        <f t="shared" si="1"/>
        <v/>
      </c>
      <c r="I37" s="86"/>
      <c r="J37" s="5"/>
    </row>
    <row r="38" spans="2:10" x14ac:dyDescent="0.3">
      <c r="B38" s="100" t="str">
        <f>IF(C38&lt;&gt;"","2.2.6","")</f>
        <v/>
      </c>
      <c r="C38" s="83"/>
      <c r="D38" s="83"/>
      <c r="E38" s="83"/>
      <c r="F38" s="83"/>
      <c r="G38" s="83"/>
      <c r="H38" s="96" t="str">
        <f t="shared" si="1"/>
        <v/>
      </c>
      <c r="I38" s="86"/>
      <c r="J38" s="5"/>
    </row>
    <row r="39" spans="2:10" x14ac:dyDescent="0.3">
      <c r="B39" s="100" t="str">
        <f>IF(C39&lt;&gt;"","2.2.7","")</f>
        <v/>
      </c>
      <c r="C39" s="83"/>
      <c r="D39" s="83"/>
      <c r="E39" s="83"/>
      <c r="F39" s="83"/>
      <c r="G39" s="83"/>
      <c r="H39" s="96" t="str">
        <f t="shared" si="1"/>
        <v/>
      </c>
      <c r="I39" s="86"/>
      <c r="J39" s="5"/>
    </row>
    <row r="40" spans="2:10" x14ac:dyDescent="0.3">
      <c r="B40" s="100" t="str">
        <f>IF(C40&lt;&gt;"","2.2.8","")</f>
        <v/>
      </c>
      <c r="C40" s="83"/>
      <c r="D40" s="83"/>
      <c r="E40" s="83"/>
      <c r="F40" s="83"/>
      <c r="G40" s="83"/>
      <c r="H40" s="96" t="str">
        <f t="shared" si="1"/>
        <v/>
      </c>
      <c r="I40" s="86"/>
      <c r="J40" s="5"/>
    </row>
    <row r="41" spans="2:10" x14ac:dyDescent="0.3">
      <c r="B41" s="100" t="str">
        <f>IF(C41&lt;&gt;"","2.2.9","")</f>
        <v/>
      </c>
      <c r="C41" s="83"/>
      <c r="D41" s="83"/>
      <c r="E41" s="83"/>
      <c r="F41" s="83"/>
      <c r="G41" s="83"/>
      <c r="H41" s="96" t="str">
        <f t="shared" si="1"/>
        <v/>
      </c>
      <c r="I41" s="86"/>
      <c r="J41" s="5"/>
    </row>
    <row r="42" spans="2:10" ht="15" thickBot="1" x14ac:dyDescent="0.35">
      <c r="B42" s="101" t="str">
        <f>IF(C42&lt;&gt;"","2.2.10","")</f>
        <v/>
      </c>
      <c r="C42" s="91"/>
      <c r="D42" s="91"/>
      <c r="E42" s="91"/>
      <c r="F42" s="91"/>
      <c r="G42" s="91"/>
      <c r="H42" s="97" t="str">
        <f>IF(F42&lt;&gt;"",F42*G42,"")</f>
        <v/>
      </c>
      <c r="I42" s="92"/>
      <c r="J42" s="5"/>
    </row>
    <row r="43" spans="2:10" ht="15" thickBot="1" x14ac:dyDescent="0.35">
      <c r="B43" s="5"/>
      <c r="C43" s="117"/>
      <c r="D43" s="5"/>
      <c r="E43" s="5"/>
      <c r="F43" s="5"/>
      <c r="G43" s="5"/>
      <c r="H43" s="5"/>
      <c r="I43" s="117"/>
      <c r="J43" s="5"/>
    </row>
    <row r="44" spans="2:10" ht="18.600000000000001" thickBot="1" x14ac:dyDescent="0.4">
      <c r="B44" s="223" t="str">
        <f>IF('Etap 2 - prototyp'!$C$7&lt;&gt;"", B7&amp;": "&amp;  'Etap 2 - prototyp'!$C$7,"")</f>
        <v/>
      </c>
      <c r="C44" s="224"/>
      <c r="D44" s="224"/>
      <c r="E44" s="224"/>
      <c r="F44" s="224"/>
      <c r="G44" s="224"/>
      <c r="H44" s="224"/>
      <c r="I44" s="225"/>
      <c r="J44" s="5"/>
    </row>
    <row r="45" spans="2:10" x14ac:dyDescent="0.3">
      <c r="B45" s="70" t="s">
        <v>0</v>
      </c>
      <c r="C45" s="131" t="s">
        <v>14</v>
      </c>
      <c r="D45" s="71" t="s">
        <v>2</v>
      </c>
      <c r="E45" s="71" t="s">
        <v>3</v>
      </c>
      <c r="F45" s="71" t="s">
        <v>13</v>
      </c>
      <c r="G45" s="71" t="s">
        <v>4</v>
      </c>
      <c r="H45" s="71" t="s">
        <v>5</v>
      </c>
      <c r="I45" s="129" t="s">
        <v>6</v>
      </c>
      <c r="J45" s="5"/>
    </row>
    <row r="46" spans="2:10" x14ac:dyDescent="0.3">
      <c r="B46" s="98" t="str">
        <f>IF(C46&lt;&gt;"","2.3.1","")</f>
        <v/>
      </c>
      <c r="C46" s="83"/>
      <c r="D46" s="83"/>
      <c r="E46" s="83"/>
      <c r="F46" s="83"/>
      <c r="G46" s="83"/>
      <c r="H46" s="96" t="str">
        <f>IF(F46&lt;&gt;"",F46*G46,"")</f>
        <v/>
      </c>
      <c r="I46" s="86"/>
      <c r="J46" s="5"/>
    </row>
    <row r="47" spans="2:10" x14ac:dyDescent="0.3">
      <c r="B47" s="98" t="str">
        <f>IF(C47&lt;&gt;"","2.3.2","")</f>
        <v/>
      </c>
      <c r="C47" s="83"/>
      <c r="D47" s="83"/>
      <c r="E47" s="83"/>
      <c r="F47" s="83"/>
      <c r="G47" s="83"/>
      <c r="H47" s="96" t="str">
        <f t="shared" ref="H47:H55" si="2">IF(F47&lt;&gt;"",F47*G47,"")</f>
        <v/>
      </c>
      <c r="I47" s="86"/>
      <c r="J47" s="5"/>
    </row>
    <row r="48" spans="2:10" x14ac:dyDescent="0.3">
      <c r="B48" s="98" t="str">
        <f>IF(C48&lt;&gt;"","2.3.3","")</f>
        <v/>
      </c>
      <c r="C48" s="83"/>
      <c r="D48" s="83"/>
      <c r="E48" s="83"/>
      <c r="F48" s="83"/>
      <c r="G48" s="83"/>
      <c r="H48" s="96" t="str">
        <f t="shared" si="2"/>
        <v/>
      </c>
      <c r="I48" s="86"/>
      <c r="J48" s="5"/>
    </row>
    <row r="49" spans="2:10" x14ac:dyDescent="0.3">
      <c r="B49" s="98" t="str">
        <f>IF(C49&lt;&gt;"","2.3.4","")</f>
        <v/>
      </c>
      <c r="C49" s="83"/>
      <c r="D49" s="83"/>
      <c r="E49" s="83"/>
      <c r="F49" s="83"/>
      <c r="G49" s="83"/>
      <c r="H49" s="96" t="str">
        <f t="shared" si="2"/>
        <v/>
      </c>
      <c r="I49" s="86"/>
      <c r="J49" s="5"/>
    </row>
    <row r="50" spans="2:10" x14ac:dyDescent="0.3">
      <c r="B50" s="98" t="str">
        <f>IF(C50&lt;&gt;"","2.3.5","")</f>
        <v/>
      </c>
      <c r="C50" s="83"/>
      <c r="D50" s="83"/>
      <c r="E50" s="83"/>
      <c r="F50" s="83"/>
      <c r="G50" s="83"/>
      <c r="H50" s="96" t="str">
        <f t="shared" si="2"/>
        <v/>
      </c>
      <c r="I50" s="86"/>
      <c r="J50" s="5"/>
    </row>
    <row r="51" spans="2:10" x14ac:dyDescent="0.3">
      <c r="B51" s="98" t="str">
        <f>IF(C51&lt;&gt;"","2.3.6","")</f>
        <v/>
      </c>
      <c r="C51" s="83"/>
      <c r="D51" s="83"/>
      <c r="E51" s="83"/>
      <c r="F51" s="83"/>
      <c r="G51" s="83"/>
      <c r="H51" s="96" t="str">
        <f t="shared" si="2"/>
        <v/>
      </c>
      <c r="I51" s="86"/>
      <c r="J51" s="5"/>
    </row>
    <row r="52" spans="2:10" x14ac:dyDescent="0.3">
      <c r="B52" s="98" t="str">
        <f>IF(C52&lt;&gt;"","2.3.7","")</f>
        <v/>
      </c>
      <c r="C52" s="83"/>
      <c r="D52" s="83"/>
      <c r="E52" s="83"/>
      <c r="F52" s="83"/>
      <c r="G52" s="83"/>
      <c r="H52" s="96" t="str">
        <f t="shared" si="2"/>
        <v/>
      </c>
      <c r="I52" s="86"/>
      <c r="J52" s="5"/>
    </row>
    <row r="53" spans="2:10" x14ac:dyDescent="0.3">
      <c r="B53" s="98" t="str">
        <f>IF(C53&lt;&gt;"","2.3.8","")</f>
        <v/>
      </c>
      <c r="C53" s="83"/>
      <c r="D53" s="83"/>
      <c r="E53" s="83"/>
      <c r="F53" s="83"/>
      <c r="G53" s="83"/>
      <c r="H53" s="96" t="str">
        <f t="shared" si="2"/>
        <v/>
      </c>
      <c r="I53" s="86"/>
      <c r="J53" s="5"/>
    </row>
    <row r="54" spans="2:10" x14ac:dyDescent="0.3">
      <c r="B54" s="98" t="str">
        <f>IF(C54&lt;&gt;"","2.3.9","")</f>
        <v/>
      </c>
      <c r="C54" s="83"/>
      <c r="D54" s="83"/>
      <c r="E54" s="83"/>
      <c r="F54" s="83"/>
      <c r="G54" s="83"/>
      <c r="H54" s="96" t="str">
        <f t="shared" si="2"/>
        <v/>
      </c>
      <c r="I54" s="86"/>
      <c r="J54" s="5"/>
    </row>
    <row r="55" spans="2:10" ht="15" thickBot="1" x14ac:dyDescent="0.35">
      <c r="B55" s="99" t="str">
        <f>IF(C55&lt;&gt;"","2.3.10","")</f>
        <v/>
      </c>
      <c r="C55" s="91"/>
      <c r="D55" s="91"/>
      <c r="E55" s="91"/>
      <c r="F55" s="91"/>
      <c r="G55" s="91"/>
      <c r="H55" s="97" t="str">
        <f t="shared" si="2"/>
        <v/>
      </c>
      <c r="I55" s="92"/>
      <c r="J55" s="5"/>
    </row>
    <row r="56" spans="2:10" ht="15" thickBot="1" x14ac:dyDescent="0.35">
      <c r="B56" s="5"/>
      <c r="C56" s="117"/>
      <c r="D56" s="5"/>
      <c r="E56" s="5"/>
      <c r="F56" s="5"/>
      <c r="G56" s="5"/>
      <c r="H56" s="5"/>
      <c r="I56" s="117"/>
      <c r="J56" s="5"/>
    </row>
    <row r="57" spans="2:10" ht="18.600000000000001" thickBot="1" x14ac:dyDescent="0.4">
      <c r="B57" s="223" t="str">
        <f>IF('Etap 2 - prototyp'!$C$8&lt;&gt;"",B8&amp;": "&amp;  'Etap 2 - prototyp'!$C$8,"")</f>
        <v/>
      </c>
      <c r="C57" s="224"/>
      <c r="D57" s="224"/>
      <c r="E57" s="224"/>
      <c r="F57" s="224"/>
      <c r="G57" s="224"/>
      <c r="H57" s="224"/>
      <c r="I57" s="225"/>
      <c r="J57" s="5"/>
    </row>
    <row r="58" spans="2:10" x14ac:dyDescent="0.3">
      <c r="B58" s="70" t="s">
        <v>0</v>
      </c>
      <c r="C58" s="131" t="s">
        <v>14</v>
      </c>
      <c r="D58" s="71" t="s">
        <v>2</v>
      </c>
      <c r="E58" s="71" t="s">
        <v>3</v>
      </c>
      <c r="F58" s="71" t="s">
        <v>13</v>
      </c>
      <c r="G58" s="71" t="s">
        <v>4</v>
      </c>
      <c r="H58" s="71" t="s">
        <v>5</v>
      </c>
      <c r="I58" s="129" t="s">
        <v>6</v>
      </c>
      <c r="J58" s="5"/>
    </row>
    <row r="59" spans="2:10" x14ac:dyDescent="0.3">
      <c r="B59" s="98" t="str">
        <f>IF(C59&lt;&gt;"","2.4.1","")</f>
        <v/>
      </c>
      <c r="C59" s="83"/>
      <c r="D59" s="83"/>
      <c r="E59" s="83"/>
      <c r="F59" s="83"/>
      <c r="G59" s="83"/>
      <c r="H59" s="96" t="str">
        <f>IF(F59&lt;&gt;"",F59*G59,"")</f>
        <v/>
      </c>
      <c r="I59" s="86"/>
      <c r="J59" s="5"/>
    </row>
    <row r="60" spans="2:10" x14ac:dyDescent="0.3">
      <c r="B60" s="98" t="str">
        <f>IF(C60&lt;&gt;"","2.4.2","")</f>
        <v/>
      </c>
      <c r="C60" s="83"/>
      <c r="D60" s="83"/>
      <c r="E60" s="83"/>
      <c r="F60" s="83"/>
      <c r="G60" s="83"/>
      <c r="H60" s="96" t="str">
        <f t="shared" ref="H60:H68" si="3">IF(F60&lt;&gt;"",F60*G60,"")</f>
        <v/>
      </c>
      <c r="I60" s="86"/>
      <c r="J60" s="5"/>
    </row>
    <row r="61" spans="2:10" x14ac:dyDescent="0.3">
      <c r="B61" s="98" t="str">
        <f>IF(C61&lt;&gt;"","2.4.3","")</f>
        <v/>
      </c>
      <c r="C61" s="83"/>
      <c r="D61" s="83"/>
      <c r="E61" s="83"/>
      <c r="F61" s="83"/>
      <c r="G61" s="83"/>
      <c r="H61" s="96" t="str">
        <f t="shared" si="3"/>
        <v/>
      </c>
      <c r="I61" s="86"/>
      <c r="J61" s="5"/>
    </row>
    <row r="62" spans="2:10" x14ac:dyDescent="0.3">
      <c r="B62" s="98" t="str">
        <f>IF(C62&lt;&gt;"","2.4.4","")</f>
        <v/>
      </c>
      <c r="C62" s="83"/>
      <c r="D62" s="83"/>
      <c r="E62" s="83"/>
      <c r="F62" s="83"/>
      <c r="G62" s="83"/>
      <c r="H62" s="96" t="str">
        <f t="shared" si="3"/>
        <v/>
      </c>
      <c r="I62" s="86"/>
      <c r="J62" s="5"/>
    </row>
    <row r="63" spans="2:10" x14ac:dyDescent="0.3">
      <c r="B63" s="98" t="str">
        <f>IF(C63&lt;&gt;"","2.4.5","")</f>
        <v/>
      </c>
      <c r="C63" s="83"/>
      <c r="D63" s="83"/>
      <c r="E63" s="83"/>
      <c r="F63" s="83"/>
      <c r="G63" s="83"/>
      <c r="H63" s="96" t="str">
        <f t="shared" si="3"/>
        <v/>
      </c>
      <c r="I63" s="86"/>
      <c r="J63" s="5"/>
    </row>
    <row r="64" spans="2:10" x14ac:dyDescent="0.3">
      <c r="B64" s="98" t="str">
        <f>IF(C64&lt;&gt;"","2.4.6","")</f>
        <v/>
      </c>
      <c r="C64" s="83"/>
      <c r="D64" s="83"/>
      <c r="E64" s="83"/>
      <c r="F64" s="83"/>
      <c r="G64" s="83"/>
      <c r="H64" s="96" t="str">
        <f t="shared" si="3"/>
        <v/>
      </c>
      <c r="I64" s="86"/>
      <c r="J64" s="5"/>
    </row>
    <row r="65" spans="2:10" x14ac:dyDescent="0.3">
      <c r="B65" s="98" t="str">
        <f>IF(C65&lt;&gt;"","2.4.7","")</f>
        <v/>
      </c>
      <c r="C65" s="83"/>
      <c r="D65" s="83"/>
      <c r="E65" s="83"/>
      <c r="F65" s="83"/>
      <c r="G65" s="83"/>
      <c r="H65" s="96" t="str">
        <f t="shared" si="3"/>
        <v/>
      </c>
      <c r="I65" s="86"/>
      <c r="J65" s="5"/>
    </row>
    <row r="66" spans="2:10" x14ac:dyDescent="0.3">
      <c r="B66" s="98" t="str">
        <f>IF(C66&lt;&gt;"","2.4.8","")</f>
        <v/>
      </c>
      <c r="C66" s="83"/>
      <c r="D66" s="83"/>
      <c r="E66" s="83"/>
      <c r="F66" s="83"/>
      <c r="G66" s="83"/>
      <c r="H66" s="96" t="str">
        <f t="shared" si="3"/>
        <v/>
      </c>
      <c r="I66" s="86"/>
      <c r="J66" s="5"/>
    </row>
    <row r="67" spans="2:10" x14ac:dyDescent="0.3">
      <c r="B67" s="98" t="str">
        <f>IF(C67&lt;&gt;"","2.4.9","")</f>
        <v/>
      </c>
      <c r="C67" s="83"/>
      <c r="D67" s="83"/>
      <c r="E67" s="83"/>
      <c r="F67" s="83"/>
      <c r="G67" s="83"/>
      <c r="H67" s="96" t="str">
        <f t="shared" si="3"/>
        <v/>
      </c>
      <c r="I67" s="86"/>
      <c r="J67" s="5"/>
    </row>
    <row r="68" spans="2:10" ht="15" thickBot="1" x14ac:dyDescent="0.35">
      <c r="B68" s="99" t="str">
        <f>IF(C68&lt;&gt;"","2.4.10","")</f>
        <v/>
      </c>
      <c r="C68" s="91"/>
      <c r="D68" s="91"/>
      <c r="E68" s="91"/>
      <c r="F68" s="91"/>
      <c r="G68" s="91"/>
      <c r="H68" s="97" t="str">
        <f t="shared" si="3"/>
        <v/>
      </c>
      <c r="I68" s="92"/>
      <c r="J68" s="5"/>
    </row>
    <row r="69" spans="2:10" ht="15" thickBot="1" x14ac:dyDescent="0.35">
      <c r="B69" s="5"/>
      <c r="C69" s="117"/>
      <c r="D69" s="5"/>
      <c r="E69" s="5"/>
      <c r="F69" s="5"/>
      <c r="G69" s="5"/>
      <c r="H69" s="5"/>
      <c r="I69" s="117"/>
      <c r="J69" s="5"/>
    </row>
    <row r="70" spans="2:10" ht="18.600000000000001" thickBot="1" x14ac:dyDescent="0.4">
      <c r="B70" s="223" t="str">
        <f>IF('Etap 2 - prototyp'!$C$9&lt;&gt;"",B9&amp;": "&amp;  'Etap 2 - prototyp'!$C$9,"")</f>
        <v/>
      </c>
      <c r="C70" s="224"/>
      <c r="D70" s="224"/>
      <c r="E70" s="224"/>
      <c r="F70" s="224"/>
      <c r="G70" s="224"/>
      <c r="H70" s="224"/>
      <c r="I70" s="225"/>
      <c r="J70" s="5"/>
    </row>
    <row r="71" spans="2:10" x14ac:dyDescent="0.3">
      <c r="B71" s="70" t="s">
        <v>0</v>
      </c>
      <c r="C71" s="131" t="s">
        <v>14</v>
      </c>
      <c r="D71" s="71" t="s">
        <v>2</v>
      </c>
      <c r="E71" s="71" t="s">
        <v>3</v>
      </c>
      <c r="F71" s="71" t="s">
        <v>13</v>
      </c>
      <c r="G71" s="71" t="s">
        <v>4</v>
      </c>
      <c r="H71" s="71" t="s">
        <v>5</v>
      </c>
      <c r="I71" s="129" t="s">
        <v>6</v>
      </c>
      <c r="J71" s="5"/>
    </row>
    <row r="72" spans="2:10" x14ac:dyDescent="0.3">
      <c r="B72" s="98" t="str">
        <f>IF(C72&lt;&gt;"","2.5.1","")</f>
        <v/>
      </c>
      <c r="C72" s="83"/>
      <c r="D72" s="83"/>
      <c r="E72" s="83"/>
      <c r="F72" s="83"/>
      <c r="G72" s="83"/>
      <c r="H72" s="96" t="str">
        <f>IF(F72&lt;&gt;"",F72*G72,"")</f>
        <v/>
      </c>
      <c r="I72" s="86"/>
      <c r="J72" s="5"/>
    </row>
    <row r="73" spans="2:10" x14ac:dyDescent="0.3">
      <c r="B73" s="98" t="str">
        <f>IF(C73&lt;&gt;"","2.5.2","")</f>
        <v/>
      </c>
      <c r="C73" s="83"/>
      <c r="D73" s="83"/>
      <c r="E73" s="83"/>
      <c r="F73" s="83"/>
      <c r="G73" s="83"/>
      <c r="H73" s="96" t="str">
        <f t="shared" ref="H73:H81" si="4">IF(F73&lt;&gt;"",F73*G73,"")</f>
        <v/>
      </c>
      <c r="I73" s="86"/>
      <c r="J73" s="5"/>
    </row>
    <row r="74" spans="2:10" x14ac:dyDescent="0.3">
      <c r="B74" s="98" t="str">
        <f>IF(C74&lt;&gt;"","2.5.3","")</f>
        <v/>
      </c>
      <c r="C74" s="83"/>
      <c r="D74" s="83"/>
      <c r="E74" s="83"/>
      <c r="F74" s="83"/>
      <c r="G74" s="83"/>
      <c r="H74" s="96" t="str">
        <f t="shared" si="4"/>
        <v/>
      </c>
      <c r="I74" s="86"/>
      <c r="J74" s="5"/>
    </row>
    <row r="75" spans="2:10" x14ac:dyDescent="0.3">
      <c r="B75" s="98" t="str">
        <f>IF(C75&lt;&gt;"","2.5.4","")</f>
        <v/>
      </c>
      <c r="C75" s="83"/>
      <c r="D75" s="83"/>
      <c r="E75" s="83"/>
      <c r="F75" s="83"/>
      <c r="G75" s="83"/>
      <c r="H75" s="96" t="str">
        <f t="shared" si="4"/>
        <v/>
      </c>
      <c r="I75" s="86"/>
      <c r="J75" s="5"/>
    </row>
    <row r="76" spans="2:10" x14ac:dyDescent="0.3">
      <c r="B76" s="98" t="str">
        <f>IF(C76&lt;&gt;"","2.5.5","")</f>
        <v/>
      </c>
      <c r="C76" s="83"/>
      <c r="D76" s="83"/>
      <c r="E76" s="83"/>
      <c r="F76" s="83"/>
      <c r="G76" s="83"/>
      <c r="H76" s="96" t="str">
        <f t="shared" si="4"/>
        <v/>
      </c>
      <c r="I76" s="86"/>
      <c r="J76" s="5"/>
    </row>
    <row r="77" spans="2:10" x14ac:dyDescent="0.3">
      <c r="B77" s="98" t="str">
        <f>IF(C77&lt;&gt;"","2.5.6","")</f>
        <v/>
      </c>
      <c r="C77" s="83"/>
      <c r="D77" s="83"/>
      <c r="E77" s="83"/>
      <c r="F77" s="83"/>
      <c r="G77" s="83"/>
      <c r="H77" s="96" t="str">
        <f t="shared" si="4"/>
        <v/>
      </c>
      <c r="I77" s="86"/>
      <c r="J77" s="5"/>
    </row>
    <row r="78" spans="2:10" x14ac:dyDescent="0.3">
      <c r="B78" s="98" t="str">
        <f>IF(C78&lt;&gt;"","2.5.7","")</f>
        <v/>
      </c>
      <c r="C78" s="83"/>
      <c r="D78" s="83"/>
      <c r="E78" s="83"/>
      <c r="F78" s="83"/>
      <c r="G78" s="83"/>
      <c r="H78" s="96" t="str">
        <f t="shared" si="4"/>
        <v/>
      </c>
      <c r="I78" s="86"/>
      <c r="J78" s="5"/>
    </row>
    <row r="79" spans="2:10" x14ac:dyDescent="0.3">
      <c r="B79" s="98" t="str">
        <f>IF(C79&lt;&gt;"","2.5.8","")</f>
        <v/>
      </c>
      <c r="C79" s="83"/>
      <c r="D79" s="83"/>
      <c r="E79" s="83"/>
      <c r="F79" s="83"/>
      <c r="G79" s="83"/>
      <c r="H79" s="96" t="str">
        <f t="shared" si="4"/>
        <v/>
      </c>
      <c r="I79" s="86"/>
      <c r="J79" s="5"/>
    </row>
    <row r="80" spans="2:10" x14ac:dyDescent="0.3">
      <c r="B80" s="98" t="str">
        <f>IF(C80&lt;&gt;"","2.5.9","")</f>
        <v/>
      </c>
      <c r="C80" s="83"/>
      <c r="D80" s="83"/>
      <c r="E80" s="83"/>
      <c r="F80" s="83"/>
      <c r="G80" s="83"/>
      <c r="H80" s="96" t="str">
        <f t="shared" si="4"/>
        <v/>
      </c>
      <c r="I80" s="86"/>
      <c r="J80" s="5"/>
    </row>
    <row r="81" spans="2:10" ht="15" thickBot="1" x14ac:dyDescent="0.35">
      <c r="B81" s="99" t="str">
        <f>IF(C81&lt;&gt;"","2.5.10","")</f>
        <v/>
      </c>
      <c r="C81" s="91"/>
      <c r="D81" s="91"/>
      <c r="E81" s="91"/>
      <c r="F81" s="91"/>
      <c r="G81" s="91"/>
      <c r="H81" s="97" t="str">
        <f t="shared" si="4"/>
        <v/>
      </c>
      <c r="I81" s="92"/>
      <c r="J81" s="5"/>
    </row>
    <row r="82" spans="2:10" ht="15" thickBot="1" x14ac:dyDescent="0.35">
      <c r="B82" s="5"/>
      <c r="C82" s="117"/>
      <c r="D82" s="5"/>
      <c r="E82" s="5"/>
      <c r="F82" s="5"/>
      <c r="G82" s="5"/>
      <c r="H82" s="5"/>
      <c r="I82" s="117"/>
      <c r="J82" s="5"/>
    </row>
    <row r="83" spans="2:10" ht="18.600000000000001" thickBot="1" x14ac:dyDescent="0.4">
      <c r="B83" s="223" t="str">
        <f>IF('Etap 2 - prototyp'!$C$10&lt;&gt;"",B10&amp;": "&amp;  'Etap 2 - prototyp'!$C$10,"")</f>
        <v/>
      </c>
      <c r="C83" s="224"/>
      <c r="D83" s="224"/>
      <c r="E83" s="224"/>
      <c r="F83" s="224"/>
      <c r="G83" s="224"/>
      <c r="H83" s="224"/>
      <c r="I83" s="225"/>
      <c r="J83" s="5"/>
    </row>
    <row r="84" spans="2:10" x14ac:dyDescent="0.3">
      <c r="B84" s="70" t="s">
        <v>0</v>
      </c>
      <c r="C84" s="131" t="s">
        <v>14</v>
      </c>
      <c r="D84" s="71" t="s">
        <v>2</v>
      </c>
      <c r="E84" s="71" t="s">
        <v>3</v>
      </c>
      <c r="F84" s="71" t="s">
        <v>13</v>
      </c>
      <c r="G84" s="71" t="s">
        <v>4</v>
      </c>
      <c r="H84" s="71" t="s">
        <v>5</v>
      </c>
      <c r="I84" s="129" t="s">
        <v>6</v>
      </c>
      <c r="J84" s="5"/>
    </row>
    <row r="85" spans="2:10" x14ac:dyDescent="0.3">
      <c r="B85" s="98" t="str">
        <f>IF(C85&lt;&gt;"","2.6.1","")</f>
        <v/>
      </c>
      <c r="C85" s="83"/>
      <c r="D85" s="83"/>
      <c r="E85" s="83"/>
      <c r="F85" s="83"/>
      <c r="G85" s="83"/>
      <c r="H85" s="96" t="str">
        <f>IF(F85&lt;&gt;"",F85*G85,"")</f>
        <v/>
      </c>
      <c r="I85" s="86"/>
      <c r="J85" s="5"/>
    </row>
    <row r="86" spans="2:10" x14ac:dyDescent="0.3">
      <c r="B86" s="98" t="str">
        <f>IF(C86&lt;&gt;"","2.6.2","")</f>
        <v/>
      </c>
      <c r="C86" s="83"/>
      <c r="D86" s="83"/>
      <c r="E86" s="83"/>
      <c r="F86" s="83"/>
      <c r="G86" s="83"/>
      <c r="H86" s="96" t="str">
        <f t="shared" ref="H86:H94" si="5">IF(F86&lt;&gt;"",F86*G86,"")</f>
        <v/>
      </c>
      <c r="I86" s="86"/>
      <c r="J86" s="5"/>
    </row>
    <row r="87" spans="2:10" x14ac:dyDescent="0.3">
      <c r="B87" s="98" t="str">
        <f>IF(C87&lt;&gt;"","2.6.3","")</f>
        <v/>
      </c>
      <c r="C87" s="83"/>
      <c r="D87" s="83"/>
      <c r="E87" s="83"/>
      <c r="F87" s="83"/>
      <c r="G87" s="83"/>
      <c r="H87" s="96" t="str">
        <f t="shared" si="5"/>
        <v/>
      </c>
      <c r="I87" s="86"/>
      <c r="J87" s="5"/>
    </row>
    <row r="88" spans="2:10" x14ac:dyDescent="0.3">
      <c r="B88" s="98" t="str">
        <f>IF(C88&lt;&gt;"","2.6.4","")</f>
        <v/>
      </c>
      <c r="C88" s="83"/>
      <c r="D88" s="83"/>
      <c r="E88" s="83"/>
      <c r="F88" s="83"/>
      <c r="G88" s="83"/>
      <c r="H88" s="96" t="str">
        <f t="shared" si="5"/>
        <v/>
      </c>
      <c r="I88" s="86"/>
      <c r="J88" s="5"/>
    </row>
    <row r="89" spans="2:10" x14ac:dyDescent="0.3">
      <c r="B89" s="98" t="str">
        <f>IF(C89&lt;&gt;"","2.6.5","")</f>
        <v/>
      </c>
      <c r="C89" s="83"/>
      <c r="D89" s="83"/>
      <c r="E89" s="83"/>
      <c r="F89" s="83"/>
      <c r="G89" s="83"/>
      <c r="H89" s="96" t="str">
        <f t="shared" si="5"/>
        <v/>
      </c>
      <c r="I89" s="86"/>
      <c r="J89" s="5"/>
    </row>
    <row r="90" spans="2:10" x14ac:dyDescent="0.3">
      <c r="B90" s="98" t="str">
        <f>IF(C90&lt;&gt;"","2.6.6","")</f>
        <v/>
      </c>
      <c r="C90" s="83"/>
      <c r="D90" s="83"/>
      <c r="E90" s="83"/>
      <c r="F90" s="83"/>
      <c r="G90" s="83"/>
      <c r="H90" s="96" t="str">
        <f t="shared" si="5"/>
        <v/>
      </c>
      <c r="I90" s="86"/>
      <c r="J90" s="5"/>
    </row>
    <row r="91" spans="2:10" x14ac:dyDescent="0.3">
      <c r="B91" s="98" t="str">
        <f>IF(C91&lt;&gt;"","2.6.7","")</f>
        <v/>
      </c>
      <c r="C91" s="83"/>
      <c r="D91" s="83"/>
      <c r="E91" s="83"/>
      <c r="F91" s="83"/>
      <c r="G91" s="83"/>
      <c r="H91" s="96" t="str">
        <f t="shared" si="5"/>
        <v/>
      </c>
      <c r="I91" s="86"/>
      <c r="J91" s="5"/>
    </row>
    <row r="92" spans="2:10" x14ac:dyDescent="0.3">
      <c r="B92" s="98" t="str">
        <f>IF(C92&lt;&gt;"","2.6.8","")</f>
        <v/>
      </c>
      <c r="C92" s="83"/>
      <c r="D92" s="83"/>
      <c r="E92" s="83"/>
      <c r="F92" s="83"/>
      <c r="G92" s="83"/>
      <c r="H92" s="96" t="str">
        <f t="shared" si="5"/>
        <v/>
      </c>
      <c r="I92" s="86"/>
      <c r="J92" s="5"/>
    </row>
    <row r="93" spans="2:10" x14ac:dyDescent="0.3">
      <c r="B93" s="98" t="str">
        <f>IF(C93&lt;&gt;"","2.6.9","")</f>
        <v/>
      </c>
      <c r="C93" s="83"/>
      <c r="D93" s="83"/>
      <c r="E93" s="83"/>
      <c r="F93" s="83"/>
      <c r="G93" s="83"/>
      <c r="H93" s="96" t="str">
        <f t="shared" si="5"/>
        <v/>
      </c>
      <c r="I93" s="86"/>
      <c r="J93" s="5"/>
    </row>
    <row r="94" spans="2:10" ht="15" thickBot="1" x14ac:dyDescent="0.35">
      <c r="B94" s="99" t="str">
        <f>IF(C94&lt;&gt;"","2.6.10","")</f>
        <v/>
      </c>
      <c r="C94" s="91"/>
      <c r="D94" s="91"/>
      <c r="E94" s="91"/>
      <c r="F94" s="91"/>
      <c r="G94" s="91"/>
      <c r="H94" s="97" t="str">
        <f t="shared" si="5"/>
        <v/>
      </c>
      <c r="I94" s="92"/>
      <c r="J94" s="5"/>
    </row>
    <row r="95" spans="2:10" ht="15" thickBot="1" x14ac:dyDescent="0.35">
      <c r="B95" s="5"/>
      <c r="C95" s="117"/>
      <c r="D95" s="5"/>
      <c r="E95" s="5"/>
      <c r="F95" s="5"/>
      <c r="G95" s="5"/>
      <c r="H95" s="5"/>
      <c r="I95" s="117"/>
      <c r="J95" s="5"/>
    </row>
    <row r="96" spans="2:10" ht="18.600000000000001" thickBot="1" x14ac:dyDescent="0.4">
      <c r="B96" s="223" t="str">
        <f>IF('Etap 2 - prototyp'!$C$11&lt;&gt;"",B11&amp;": "&amp;  'Etap 2 - prototyp'!$C$11,"")</f>
        <v/>
      </c>
      <c r="C96" s="224"/>
      <c r="D96" s="224"/>
      <c r="E96" s="224"/>
      <c r="F96" s="224"/>
      <c r="G96" s="224"/>
      <c r="H96" s="224"/>
      <c r="I96" s="225"/>
      <c r="J96" s="5"/>
    </row>
    <row r="97" spans="2:10" x14ac:dyDescent="0.3">
      <c r="B97" s="70" t="s">
        <v>0</v>
      </c>
      <c r="C97" s="131" t="s">
        <v>14</v>
      </c>
      <c r="D97" s="71" t="s">
        <v>2</v>
      </c>
      <c r="E97" s="71" t="s">
        <v>3</v>
      </c>
      <c r="F97" s="71" t="s">
        <v>13</v>
      </c>
      <c r="G97" s="71" t="s">
        <v>4</v>
      </c>
      <c r="H97" s="71" t="s">
        <v>5</v>
      </c>
      <c r="I97" s="129" t="s">
        <v>6</v>
      </c>
      <c r="J97" s="5"/>
    </row>
    <row r="98" spans="2:10" x14ac:dyDescent="0.3">
      <c r="B98" s="98" t="str">
        <f>IF(C98&lt;&gt;"","2.7.1","")</f>
        <v/>
      </c>
      <c r="C98" s="83"/>
      <c r="D98" s="83"/>
      <c r="E98" s="83"/>
      <c r="F98" s="83"/>
      <c r="G98" s="83"/>
      <c r="H98" s="96" t="str">
        <f>IF(F98&lt;&gt;"",F98*G98,"")</f>
        <v/>
      </c>
      <c r="I98" s="86"/>
      <c r="J98" s="5"/>
    </row>
    <row r="99" spans="2:10" x14ac:dyDescent="0.3">
      <c r="B99" s="98" t="str">
        <f>IF(C99&lt;&gt;"","2.7.2","")</f>
        <v/>
      </c>
      <c r="C99" s="83"/>
      <c r="D99" s="83"/>
      <c r="E99" s="83"/>
      <c r="F99" s="83"/>
      <c r="G99" s="83"/>
      <c r="H99" s="96" t="str">
        <f t="shared" ref="H99:H106" si="6">IF(F99&lt;&gt;"",F99*G99,"")</f>
        <v/>
      </c>
      <c r="I99" s="86"/>
      <c r="J99" s="5"/>
    </row>
    <row r="100" spans="2:10" x14ac:dyDescent="0.3">
      <c r="B100" s="98" t="str">
        <f>IF(C100&lt;&gt;"","2.7.3","")</f>
        <v/>
      </c>
      <c r="C100" s="83"/>
      <c r="D100" s="83"/>
      <c r="E100" s="83"/>
      <c r="F100" s="83"/>
      <c r="G100" s="83"/>
      <c r="H100" s="96" t="str">
        <f t="shared" si="6"/>
        <v/>
      </c>
      <c r="I100" s="86"/>
      <c r="J100" s="5"/>
    </row>
    <row r="101" spans="2:10" x14ac:dyDescent="0.3">
      <c r="B101" s="98" t="str">
        <f>IF(C101&lt;&gt;"","2.7.4","")</f>
        <v/>
      </c>
      <c r="C101" s="83"/>
      <c r="D101" s="83"/>
      <c r="E101" s="83"/>
      <c r="F101" s="83"/>
      <c r="G101" s="83"/>
      <c r="H101" s="96" t="str">
        <f t="shared" si="6"/>
        <v/>
      </c>
      <c r="I101" s="86"/>
      <c r="J101" s="5"/>
    </row>
    <row r="102" spans="2:10" x14ac:dyDescent="0.3">
      <c r="B102" s="98" t="str">
        <f>IF(C102&lt;&gt;"","2.7.5","")</f>
        <v/>
      </c>
      <c r="C102" s="83"/>
      <c r="D102" s="83"/>
      <c r="E102" s="83"/>
      <c r="F102" s="83"/>
      <c r="G102" s="83"/>
      <c r="H102" s="96" t="str">
        <f t="shared" si="6"/>
        <v/>
      </c>
      <c r="I102" s="86"/>
      <c r="J102" s="5"/>
    </row>
    <row r="103" spans="2:10" x14ac:dyDescent="0.3">
      <c r="B103" s="98" t="str">
        <f>IF(C103&lt;&gt;"","2.7.6","")</f>
        <v/>
      </c>
      <c r="C103" s="83"/>
      <c r="D103" s="83"/>
      <c r="E103" s="83"/>
      <c r="F103" s="83"/>
      <c r="G103" s="83"/>
      <c r="H103" s="96" t="str">
        <f t="shared" si="6"/>
        <v/>
      </c>
      <c r="I103" s="86"/>
      <c r="J103" s="5"/>
    </row>
    <row r="104" spans="2:10" x14ac:dyDescent="0.3">
      <c r="B104" s="98" t="str">
        <f>IF(C104&lt;&gt;"","2.7.7","")</f>
        <v/>
      </c>
      <c r="C104" s="83"/>
      <c r="D104" s="83"/>
      <c r="E104" s="83"/>
      <c r="F104" s="83"/>
      <c r="G104" s="83"/>
      <c r="H104" s="96" t="str">
        <f t="shared" si="6"/>
        <v/>
      </c>
      <c r="I104" s="86"/>
      <c r="J104" s="5"/>
    </row>
    <row r="105" spans="2:10" x14ac:dyDescent="0.3">
      <c r="B105" s="98" t="str">
        <f>IF(C105&lt;&gt;"","2.7.8","")</f>
        <v/>
      </c>
      <c r="C105" s="83"/>
      <c r="D105" s="83"/>
      <c r="E105" s="83"/>
      <c r="F105" s="83"/>
      <c r="G105" s="83"/>
      <c r="H105" s="96" t="str">
        <f t="shared" si="6"/>
        <v/>
      </c>
      <c r="I105" s="86"/>
      <c r="J105" s="5"/>
    </row>
    <row r="106" spans="2:10" x14ac:dyDescent="0.3">
      <c r="B106" s="98" t="str">
        <f>IF(C106&lt;&gt;"","2.7.9","")</f>
        <v/>
      </c>
      <c r="C106" s="83"/>
      <c r="D106" s="83"/>
      <c r="E106" s="83"/>
      <c r="F106" s="83"/>
      <c r="G106" s="83"/>
      <c r="H106" s="96" t="str">
        <f t="shared" si="6"/>
        <v/>
      </c>
      <c r="I106" s="86"/>
      <c r="J106" s="5"/>
    </row>
    <row r="107" spans="2:10" ht="15" thickBot="1" x14ac:dyDescent="0.35">
      <c r="B107" s="99" t="str">
        <f>IF(C107&lt;&gt;"","2.7.10","")</f>
        <v/>
      </c>
      <c r="C107" s="91"/>
      <c r="D107" s="91"/>
      <c r="E107" s="91"/>
      <c r="F107" s="91"/>
      <c r="G107" s="91"/>
      <c r="H107" s="97" t="str">
        <f>IF(F107&lt;&gt;"",F107*G107,"")</f>
        <v/>
      </c>
      <c r="I107" s="92"/>
      <c r="J107" s="5"/>
    </row>
    <row r="108" spans="2:10" ht="15" thickBot="1" x14ac:dyDescent="0.35">
      <c r="B108" s="5"/>
      <c r="C108" s="117"/>
      <c r="D108" s="5"/>
      <c r="E108" s="5"/>
      <c r="F108" s="5"/>
      <c r="G108" s="5"/>
      <c r="H108" s="5"/>
      <c r="I108" s="117"/>
      <c r="J108" s="5"/>
    </row>
    <row r="109" spans="2:10" ht="18.600000000000001" thickBot="1" x14ac:dyDescent="0.4">
      <c r="B109" s="223" t="str">
        <f>IF('Etap 2 - prototyp'!$C$12&lt;&gt;"", B12&amp;": "&amp;  'Etap 2 - prototyp'!$C$12,"")</f>
        <v/>
      </c>
      <c r="C109" s="224"/>
      <c r="D109" s="224"/>
      <c r="E109" s="224"/>
      <c r="F109" s="224"/>
      <c r="G109" s="224"/>
      <c r="H109" s="224"/>
      <c r="I109" s="225"/>
      <c r="J109" s="5"/>
    </row>
    <row r="110" spans="2:10" x14ac:dyDescent="0.3">
      <c r="B110" s="70" t="s">
        <v>0</v>
      </c>
      <c r="C110" s="131" t="s">
        <v>14</v>
      </c>
      <c r="D110" s="71" t="s">
        <v>2</v>
      </c>
      <c r="E110" s="71" t="s">
        <v>3</v>
      </c>
      <c r="F110" s="71" t="s">
        <v>13</v>
      </c>
      <c r="G110" s="71" t="s">
        <v>4</v>
      </c>
      <c r="H110" s="71" t="s">
        <v>5</v>
      </c>
      <c r="I110" s="129" t="s">
        <v>6</v>
      </c>
      <c r="J110" s="5"/>
    </row>
    <row r="111" spans="2:10" x14ac:dyDescent="0.3">
      <c r="B111" s="98" t="str">
        <f>IF(C111&lt;&gt;"","2.8.1","")</f>
        <v/>
      </c>
      <c r="C111" s="83"/>
      <c r="D111" s="83"/>
      <c r="E111" s="83"/>
      <c r="F111" s="83"/>
      <c r="G111" s="83"/>
      <c r="H111" s="96" t="str">
        <f>IF(F111&lt;&gt;"",F111*G111,"")</f>
        <v/>
      </c>
      <c r="I111" s="86"/>
      <c r="J111" s="5"/>
    </row>
    <row r="112" spans="2:10" x14ac:dyDescent="0.3">
      <c r="B112" s="98" t="str">
        <f>IF(C112&lt;&gt;"","2.8.2","")</f>
        <v/>
      </c>
      <c r="C112" s="83"/>
      <c r="D112" s="83"/>
      <c r="E112" s="83"/>
      <c r="F112" s="83"/>
      <c r="G112" s="83"/>
      <c r="H112" s="96" t="str">
        <f t="shared" ref="H112:H120" si="7">IF(F112&lt;&gt;"",F112*G112,"")</f>
        <v/>
      </c>
      <c r="I112" s="86"/>
      <c r="J112" s="5"/>
    </row>
    <row r="113" spans="2:10" x14ac:dyDescent="0.3">
      <c r="B113" s="98" t="str">
        <f>IF(C113&lt;&gt;"","2.8.3","")</f>
        <v/>
      </c>
      <c r="C113" s="83"/>
      <c r="D113" s="83"/>
      <c r="E113" s="83"/>
      <c r="F113" s="83"/>
      <c r="G113" s="83"/>
      <c r="H113" s="96" t="str">
        <f t="shared" si="7"/>
        <v/>
      </c>
      <c r="I113" s="86"/>
      <c r="J113" s="5"/>
    </row>
    <row r="114" spans="2:10" x14ac:dyDescent="0.3">
      <c r="B114" s="98" t="str">
        <f>IF(C114&lt;&gt;"","2.8.4","")</f>
        <v/>
      </c>
      <c r="C114" s="83"/>
      <c r="D114" s="83"/>
      <c r="E114" s="83"/>
      <c r="F114" s="83"/>
      <c r="G114" s="83"/>
      <c r="H114" s="96" t="str">
        <f t="shared" si="7"/>
        <v/>
      </c>
      <c r="I114" s="86"/>
      <c r="J114" s="5"/>
    </row>
    <row r="115" spans="2:10" x14ac:dyDescent="0.3">
      <c r="B115" s="98" t="str">
        <f>IF(C115&lt;&gt;"","2.8.5","")</f>
        <v/>
      </c>
      <c r="C115" s="83"/>
      <c r="D115" s="83"/>
      <c r="E115" s="83"/>
      <c r="F115" s="83"/>
      <c r="G115" s="83"/>
      <c r="H115" s="96" t="str">
        <f t="shared" si="7"/>
        <v/>
      </c>
      <c r="I115" s="86"/>
      <c r="J115" s="5"/>
    </row>
    <row r="116" spans="2:10" x14ac:dyDescent="0.3">
      <c r="B116" s="98" t="str">
        <f>IF(C116&lt;&gt;"","2.8.6","")</f>
        <v/>
      </c>
      <c r="C116" s="83"/>
      <c r="D116" s="83"/>
      <c r="E116" s="83"/>
      <c r="F116" s="83"/>
      <c r="G116" s="83"/>
      <c r="H116" s="96" t="str">
        <f t="shared" si="7"/>
        <v/>
      </c>
      <c r="I116" s="86"/>
      <c r="J116" s="5"/>
    </row>
    <row r="117" spans="2:10" x14ac:dyDescent="0.3">
      <c r="B117" s="98" t="str">
        <f>IF(C117&lt;&gt;"","2.8.7","")</f>
        <v/>
      </c>
      <c r="C117" s="83"/>
      <c r="D117" s="83"/>
      <c r="E117" s="83"/>
      <c r="F117" s="83"/>
      <c r="G117" s="83"/>
      <c r="H117" s="96" t="str">
        <f t="shared" si="7"/>
        <v/>
      </c>
      <c r="I117" s="86"/>
      <c r="J117" s="5"/>
    </row>
    <row r="118" spans="2:10" x14ac:dyDescent="0.3">
      <c r="B118" s="98" t="str">
        <f>IF(C118&lt;&gt;"","2.8.8","")</f>
        <v/>
      </c>
      <c r="C118" s="83"/>
      <c r="D118" s="83"/>
      <c r="E118" s="83"/>
      <c r="F118" s="83"/>
      <c r="G118" s="83"/>
      <c r="H118" s="96" t="str">
        <f t="shared" si="7"/>
        <v/>
      </c>
      <c r="I118" s="86"/>
      <c r="J118" s="5"/>
    </row>
    <row r="119" spans="2:10" x14ac:dyDescent="0.3">
      <c r="B119" s="98" t="str">
        <f>IF(C119&lt;&gt;"","2.8.9","")</f>
        <v/>
      </c>
      <c r="C119" s="83"/>
      <c r="D119" s="83"/>
      <c r="E119" s="83"/>
      <c r="F119" s="83"/>
      <c r="G119" s="83"/>
      <c r="H119" s="96" t="str">
        <f t="shared" si="7"/>
        <v/>
      </c>
      <c r="I119" s="86"/>
      <c r="J119" s="5"/>
    </row>
    <row r="120" spans="2:10" ht="15" thickBot="1" x14ac:dyDescent="0.35">
      <c r="B120" s="99" t="str">
        <f>IF(C120&lt;&gt;"","2.8.10","")</f>
        <v/>
      </c>
      <c r="C120" s="91"/>
      <c r="D120" s="91"/>
      <c r="E120" s="91"/>
      <c r="F120" s="91"/>
      <c r="G120" s="91"/>
      <c r="H120" s="97" t="str">
        <f t="shared" si="7"/>
        <v/>
      </c>
      <c r="I120" s="92"/>
      <c r="J120" s="5"/>
    </row>
    <row r="121" spans="2:10" ht="15" thickBot="1" x14ac:dyDescent="0.35">
      <c r="B121" s="5"/>
      <c r="C121" s="117"/>
      <c r="D121" s="5"/>
      <c r="E121" s="5"/>
      <c r="F121" s="5"/>
      <c r="G121" s="5"/>
      <c r="H121" s="5"/>
      <c r="I121" s="117"/>
      <c r="J121" s="5"/>
    </row>
    <row r="122" spans="2:10" ht="18.600000000000001" thickBot="1" x14ac:dyDescent="0.4">
      <c r="B122" s="223" t="str">
        <f>IF('Etap 2 - prototyp'!$C$13&lt;&gt;"",B13&amp;": "&amp;  'Etap 2 - prototyp'!$C$13,"")</f>
        <v/>
      </c>
      <c r="C122" s="224"/>
      <c r="D122" s="224"/>
      <c r="E122" s="224"/>
      <c r="F122" s="224"/>
      <c r="G122" s="224"/>
      <c r="H122" s="224"/>
      <c r="I122" s="225"/>
      <c r="J122" s="5"/>
    </row>
    <row r="123" spans="2:10" x14ac:dyDescent="0.3">
      <c r="B123" s="70" t="s">
        <v>0</v>
      </c>
      <c r="C123" s="131" t="s">
        <v>14</v>
      </c>
      <c r="D123" s="71" t="s">
        <v>2</v>
      </c>
      <c r="E123" s="71" t="s">
        <v>3</v>
      </c>
      <c r="F123" s="71" t="s">
        <v>13</v>
      </c>
      <c r="G123" s="71" t="s">
        <v>4</v>
      </c>
      <c r="H123" s="71" t="s">
        <v>5</v>
      </c>
      <c r="I123" s="129" t="s">
        <v>6</v>
      </c>
      <c r="J123" s="5"/>
    </row>
    <row r="124" spans="2:10" x14ac:dyDescent="0.3">
      <c r="B124" s="98" t="str">
        <f>IF(C124&lt;&gt;"","2.9.1","")</f>
        <v/>
      </c>
      <c r="C124" s="83"/>
      <c r="D124" s="83"/>
      <c r="E124" s="83"/>
      <c r="F124" s="83"/>
      <c r="G124" s="83"/>
      <c r="H124" s="96" t="str">
        <f>IF(F124&lt;&gt;"",F124*G124,"")</f>
        <v/>
      </c>
      <c r="I124" s="86"/>
      <c r="J124" s="5"/>
    </row>
    <row r="125" spans="2:10" x14ac:dyDescent="0.3">
      <c r="B125" s="98" t="str">
        <f>IF(C125&lt;&gt;"","2.9.2","")</f>
        <v/>
      </c>
      <c r="C125" s="83"/>
      <c r="D125" s="83"/>
      <c r="E125" s="83"/>
      <c r="F125" s="83"/>
      <c r="G125" s="83"/>
      <c r="H125" s="96" t="str">
        <f t="shared" ref="H125:H133" si="8">IF(F125&lt;&gt;"",F125*G125,"")</f>
        <v/>
      </c>
      <c r="I125" s="86"/>
      <c r="J125" s="5"/>
    </row>
    <row r="126" spans="2:10" x14ac:dyDescent="0.3">
      <c r="B126" s="98" t="str">
        <f>IF(C126&lt;&gt;"","2.9.3","")</f>
        <v/>
      </c>
      <c r="C126" s="83"/>
      <c r="D126" s="83"/>
      <c r="E126" s="83"/>
      <c r="F126" s="83"/>
      <c r="G126" s="83"/>
      <c r="H126" s="96" t="str">
        <f t="shared" si="8"/>
        <v/>
      </c>
      <c r="I126" s="86"/>
      <c r="J126" s="5"/>
    </row>
    <row r="127" spans="2:10" x14ac:dyDescent="0.3">
      <c r="B127" s="98" t="str">
        <f>IF(C127&lt;&gt;"","2.9.4","")</f>
        <v/>
      </c>
      <c r="C127" s="83"/>
      <c r="D127" s="83"/>
      <c r="E127" s="83"/>
      <c r="F127" s="83"/>
      <c r="G127" s="83"/>
      <c r="H127" s="96" t="str">
        <f t="shared" si="8"/>
        <v/>
      </c>
      <c r="I127" s="86"/>
      <c r="J127" s="5"/>
    </row>
    <row r="128" spans="2:10" x14ac:dyDescent="0.3">
      <c r="B128" s="98" t="str">
        <f>IF(C128&lt;&gt;"","2.9.5","")</f>
        <v/>
      </c>
      <c r="C128" s="83"/>
      <c r="D128" s="83"/>
      <c r="E128" s="83"/>
      <c r="F128" s="83"/>
      <c r="G128" s="83"/>
      <c r="H128" s="96" t="str">
        <f t="shared" si="8"/>
        <v/>
      </c>
      <c r="I128" s="86"/>
      <c r="J128" s="5"/>
    </row>
    <row r="129" spans="2:10" x14ac:dyDescent="0.3">
      <c r="B129" s="98" t="str">
        <f>IF(C129&lt;&gt;"","2.9.6","")</f>
        <v/>
      </c>
      <c r="C129" s="83"/>
      <c r="D129" s="83"/>
      <c r="E129" s="83"/>
      <c r="F129" s="83"/>
      <c r="G129" s="83"/>
      <c r="H129" s="96" t="str">
        <f t="shared" si="8"/>
        <v/>
      </c>
      <c r="I129" s="86"/>
      <c r="J129" s="5"/>
    </row>
    <row r="130" spans="2:10" x14ac:dyDescent="0.3">
      <c r="B130" s="98" t="str">
        <f>IF(C130&lt;&gt;"","2.9.7","")</f>
        <v/>
      </c>
      <c r="C130" s="83"/>
      <c r="D130" s="83"/>
      <c r="E130" s="83"/>
      <c r="F130" s="83"/>
      <c r="G130" s="83"/>
      <c r="H130" s="96" t="str">
        <f t="shared" si="8"/>
        <v/>
      </c>
      <c r="I130" s="86"/>
      <c r="J130" s="5"/>
    </row>
    <row r="131" spans="2:10" x14ac:dyDescent="0.3">
      <c r="B131" s="98" t="str">
        <f>IF(C131&lt;&gt;"","2.9.8","")</f>
        <v/>
      </c>
      <c r="C131" s="83"/>
      <c r="D131" s="83"/>
      <c r="E131" s="83"/>
      <c r="F131" s="83"/>
      <c r="G131" s="83"/>
      <c r="H131" s="96" t="str">
        <f t="shared" si="8"/>
        <v/>
      </c>
      <c r="I131" s="86"/>
      <c r="J131" s="5"/>
    </row>
    <row r="132" spans="2:10" x14ac:dyDescent="0.3">
      <c r="B132" s="98" t="str">
        <f>IF(C132&lt;&gt;"","2.9.9","")</f>
        <v/>
      </c>
      <c r="C132" s="83"/>
      <c r="D132" s="83"/>
      <c r="E132" s="83"/>
      <c r="F132" s="83"/>
      <c r="G132" s="83"/>
      <c r="H132" s="96" t="str">
        <f t="shared" si="8"/>
        <v/>
      </c>
      <c r="I132" s="86"/>
      <c r="J132" s="5"/>
    </row>
    <row r="133" spans="2:10" ht="15" thickBot="1" x14ac:dyDescent="0.35">
      <c r="B133" s="99" t="str">
        <f>IF(C133&lt;&gt;"","2.9.10","")</f>
        <v/>
      </c>
      <c r="C133" s="91"/>
      <c r="D133" s="91"/>
      <c r="E133" s="91"/>
      <c r="F133" s="91"/>
      <c r="G133" s="91"/>
      <c r="H133" s="97" t="str">
        <f t="shared" si="8"/>
        <v/>
      </c>
      <c r="I133" s="92"/>
      <c r="J133" s="5"/>
    </row>
    <row r="134" spans="2:10" ht="15" thickBot="1" x14ac:dyDescent="0.35">
      <c r="B134" s="5"/>
      <c r="C134" s="117"/>
      <c r="D134" s="5"/>
      <c r="E134" s="5"/>
      <c r="F134" s="5"/>
      <c r="G134" s="5"/>
      <c r="H134" s="5"/>
      <c r="I134" s="117"/>
      <c r="J134" s="5"/>
    </row>
    <row r="135" spans="2:10" ht="18.600000000000001" thickBot="1" x14ac:dyDescent="0.4">
      <c r="B135" s="223" t="str">
        <f>IF('Etap 2 - prototyp'!$C$14&lt;&gt;"",B14&amp;": "&amp;  'Etap 2 - prototyp'!$C$14,"")</f>
        <v/>
      </c>
      <c r="C135" s="224"/>
      <c r="D135" s="224"/>
      <c r="E135" s="224"/>
      <c r="F135" s="224"/>
      <c r="G135" s="224"/>
      <c r="H135" s="224"/>
      <c r="I135" s="225"/>
      <c r="J135" s="5"/>
    </row>
    <row r="136" spans="2:10" x14ac:dyDescent="0.3">
      <c r="B136" s="70" t="s">
        <v>0</v>
      </c>
      <c r="C136" s="131" t="s">
        <v>14</v>
      </c>
      <c r="D136" s="71" t="s">
        <v>2</v>
      </c>
      <c r="E136" s="71" t="s">
        <v>3</v>
      </c>
      <c r="F136" s="71" t="s">
        <v>13</v>
      </c>
      <c r="G136" s="71" t="s">
        <v>4</v>
      </c>
      <c r="H136" s="71" t="s">
        <v>5</v>
      </c>
      <c r="I136" s="129" t="s">
        <v>6</v>
      </c>
      <c r="J136" s="5"/>
    </row>
    <row r="137" spans="2:10" x14ac:dyDescent="0.3">
      <c r="B137" s="98" t="str">
        <f>IF(C137&lt;&gt;"","2.10.1","")</f>
        <v/>
      </c>
      <c r="C137" s="83"/>
      <c r="D137" s="83"/>
      <c r="E137" s="83"/>
      <c r="F137" s="83"/>
      <c r="G137" s="83"/>
      <c r="H137" s="96" t="str">
        <f>IF(F137&lt;&gt;"",F137*G137,"")</f>
        <v/>
      </c>
      <c r="I137" s="86"/>
      <c r="J137" s="5"/>
    </row>
    <row r="138" spans="2:10" x14ac:dyDescent="0.3">
      <c r="B138" s="98" t="str">
        <f>IF(C138&lt;&gt;"","2.10.2","")</f>
        <v/>
      </c>
      <c r="C138" s="83"/>
      <c r="D138" s="83"/>
      <c r="E138" s="83"/>
      <c r="F138" s="83"/>
      <c r="G138" s="83"/>
      <c r="H138" s="96" t="str">
        <f t="shared" ref="H138:H145" si="9">IF(F138&lt;&gt;"",F138*G138,"")</f>
        <v/>
      </c>
      <c r="I138" s="86"/>
      <c r="J138" s="5"/>
    </row>
    <row r="139" spans="2:10" x14ac:dyDescent="0.3">
      <c r="B139" s="98" t="str">
        <f>IF(C139&lt;&gt;"","2.10.3","")</f>
        <v/>
      </c>
      <c r="C139" s="83"/>
      <c r="D139" s="83"/>
      <c r="E139" s="83"/>
      <c r="F139" s="83"/>
      <c r="G139" s="83"/>
      <c r="H139" s="96" t="str">
        <f t="shared" si="9"/>
        <v/>
      </c>
      <c r="I139" s="86"/>
      <c r="J139" s="5"/>
    </row>
    <row r="140" spans="2:10" x14ac:dyDescent="0.3">
      <c r="B140" s="98" t="str">
        <f>IF(C140&lt;&gt;"","2.10.4","")</f>
        <v/>
      </c>
      <c r="C140" s="83"/>
      <c r="D140" s="83"/>
      <c r="E140" s="83"/>
      <c r="F140" s="83"/>
      <c r="G140" s="83"/>
      <c r="H140" s="96" t="str">
        <f t="shared" si="9"/>
        <v/>
      </c>
      <c r="I140" s="86"/>
      <c r="J140" s="5"/>
    </row>
    <row r="141" spans="2:10" x14ac:dyDescent="0.3">
      <c r="B141" s="98" t="str">
        <f>IF(C141&lt;&gt;"","2.10.5","")</f>
        <v/>
      </c>
      <c r="C141" s="83"/>
      <c r="D141" s="83"/>
      <c r="E141" s="83"/>
      <c r="F141" s="83"/>
      <c r="G141" s="83"/>
      <c r="H141" s="96" t="str">
        <f t="shared" si="9"/>
        <v/>
      </c>
      <c r="I141" s="86"/>
      <c r="J141" s="5"/>
    </row>
    <row r="142" spans="2:10" x14ac:dyDescent="0.3">
      <c r="B142" s="98" t="str">
        <f>IF(C142&lt;&gt;"","2.10.6","")</f>
        <v/>
      </c>
      <c r="C142" s="83"/>
      <c r="D142" s="83"/>
      <c r="E142" s="83"/>
      <c r="F142" s="83"/>
      <c r="G142" s="83"/>
      <c r="H142" s="96" t="str">
        <f t="shared" si="9"/>
        <v/>
      </c>
      <c r="I142" s="86"/>
      <c r="J142" s="5"/>
    </row>
    <row r="143" spans="2:10" x14ac:dyDescent="0.3">
      <c r="B143" s="98" t="str">
        <f>IF(C143&lt;&gt;"","2.10.7","")</f>
        <v/>
      </c>
      <c r="C143" s="83"/>
      <c r="D143" s="83"/>
      <c r="E143" s="83"/>
      <c r="F143" s="83"/>
      <c r="G143" s="83"/>
      <c r="H143" s="96" t="str">
        <f t="shared" si="9"/>
        <v/>
      </c>
      <c r="I143" s="86"/>
      <c r="J143" s="5"/>
    </row>
    <row r="144" spans="2:10" x14ac:dyDescent="0.3">
      <c r="B144" s="98" t="str">
        <f>IF(C144&lt;&gt;"","2.10.8","")</f>
        <v/>
      </c>
      <c r="C144" s="83"/>
      <c r="D144" s="83"/>
      <c r="E144" s="83"/>
      <c r="F144" s="83"/>
      <c r="G144" s="83"/>
      <c r="H144" s="96" t="str">
        <f t="shared" si="9"/>
        <v/>
      </c>
      <c r="I144" s="86"/>
      <c r="J144" s="5"/>
    </row>
    <row r="145" spans="2:10" x14ac:dyDescent="0.3">
      <c r="B145" s="98" t="str">
        <f>IF(C145&lt;&gt;"","2.10.9","")</f>
        <v/>
      </c>
      <c r="C145" s="83"/>
      <c r="D145" s="83"/>
      <c r="E145" s="83"/>
      <c r="F145" s="83"/>
      <c r="G145" s="83"/>
      <c r="H145" s="96" t="str">
        <f t="shared" si="9"/>
        <v/>
      </c>
      <c r="I145" s="86"/>
      <c r="J145" s="5"/>
    </row>
    <row r="146" spans="2:10" ht="15" thickBot="1" x14ac:dyDescent="0.35">
      <c r="B146" s="99" t="str">
        <f>IF(C146&lt;&gt;"","2.10.10","")</f>
        <v/>
      </c>
      <c r="C146" s="91"/>
      <c r="D146" s="91"/>
      <c r="E146" s="91"/>
      <c r="F146" s="91"/>
      <c r="G146" s="91"/>
      <c r="H146" s="97" t="str">
        <f>IF(F146&lt;&gt;"",F146*G146,"")</f>
        <v/>
      </c>
      <c r="I146" s="92"/>
      <c r="J146" s="5"/>
    </row>
  </sheetData>
  <sheetProtection algorithmName="SHA-512" hashValue="BihGezkVh90n/fkNkMKzROzQYSxQ7bNVAyisRB99UGxT96kJSrEYJCmwp/oUbxrWyT3e+zXDgH9EZZLjQeNwZw==" saltValue="toGZ1s2iBpmwJuOZeNlK9Q==" spinCount="100000" sheet="1" objects="1" scenarios="1" selectLockedCells="1"/>
  <mergeCells count="12">
    <mergeCell ref="B31:I31"/>
    <mergeCell ref="B44:I44"/>
    <mergeCell ref="B18:I18"/>
    <mergeCell ref="B16:I16"/>
    <mergeCell ref="B3:F3"/>
    <mergeCell ref="B135:I135"/>
    <mergeCell ref="B96:I96"/>
    <mergeCell ref="B109:I109"/>
    <mergeCell ref="B122:I122"/>
    <mergeCell ref="B57:I57"/>
    <mergeCell ref="B70:I70"/>
    <mergeCell ref="B83:I83"/>
  </mergeCells>
  <phoneticPr fontId="4" type="noConversion"/>
  <conditionalFormatting sqref="B18:I19 B22:I29 B20:B21 H20:H21">
    <cfRule type="expression" dxfId="35" priority="22">
      <formula>$B$18=""</formula>
    </cfRule>
  </conditionalFormatting>
  <conditionalFormatting sqref="B31:I42">
    <cfRule type="expression" dxfId="34" priority="21">
      <formula>$B$31=""</formula>
    </cfRule>
  </conditionalFormatting>
  <conditionalFormatting sqref="B44:I55">
    <cfRule type="expression" dxfId="33" priority="19">
      <formula>$C$7=""</formula>
    </cfRule>
  </conditionalFormatting>
  <conditionalFormatting sqref="B57:I68">
    <cfRule type="expression" dxfId="32" priority="18">
      <formula>$C$8=""</formula>
    </cfRule>
  </conditionalFormatting>
  <conditionalFormatting sqref="B70:I81">
    <cfRule type="expression" dxfId="31" priority="17">
      <formula>$C$9=""</formula>
    </cfRule>
  </conditionalFormatting>
  <conditionalFormatting sqref="B83:I94">
    <cfRule type="expression" dxfId="30" priority="16">
      <formula>$C$10=""</formula>
    </cfRule>
  </conditionalFormatting>
  <conditionalFormatting sqref="B96:I107">
    <cfRule type="expression" dxfId="29" priority="15">
      <formula>$C$11=""</formula>
    </cfRule>
  </conditionalFormatting>
  <conditionalFormatting sqref="B109:I120">
    <cfRule type="expression" dxfId="28" priority="14">
      <formula>$C$12=""</formula>
    </cfRule>
  </conditionalFormatting>
  <conditionalFormatting sqref="B122:I133">
    <cfRule type="expression" dxfId="27" priority="13">
      <formula>$C$13=""</formula>
    </cfRule>
  </conditionalFormatting>
  <conditionalFormatting sqref="B135:I146">
    <cfRule type="expression" dxfId="26" priority="12">
      <formula>$C$14=""</formula>
    </cfRule>
  </conditionalFormatting>
  <conditionalFormatting sqref="D20:G21">
    <cfRule type="expression" dxfId="25" priority="1">
      <formula>$B$18=""</formula>
    </cfRule>
  </conditionalFormatting>
  <dataValidations count="2">
    <dataValidation type="decimal" operator="greaterThanOrEqual" allowBlank="1" showInputMessage="1" showErrorMessage="1" errorTitle="Błąd" error="Podaj liczbę" sqref="F20:G29 F137:G146 F33:G42 F46:G55 F59:G68 F72:G81 F85:G94 F98:G107 F111:G120 F124:G133" xr:uid="{92840C7A-9DF6-4C82-95A6-B26FBE26F5B7}">
      <formula1>0</formula1>
    </dataValidation>
    <dataValidation type="date" allowBlank="1" showInputMessage="1" showErrorMessage="1" errorTitle="UWAGA" error="Podaj datę w formacie DD.MM.RRRR" promptTitle="UWAGA" prompt="Podaj datę w formacie DD.MM.RRRR" sqref="E5:F14" xr:uid="{91B6993D-A080-4211-91B7-15287BB12FC1}">
      <formula1>44652</formula1>
      <formula2>44926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wynagrodzenia_x000a_usługi obce_x000a_materiały" xr:uid="{7CA437D8-C48D-46B6-8E88-99164AF767E3}">
          <x14:formula1>
            <xm:f>Robocze!$B$3:$B$6</xm:f>
          </x14:formula1>
          <xm:sqref>D137:D146 D20:D29 D33:D42 D46:D55 D59:D68 D72:D81 D85:D94 D98:D107 D111:D120 D124:D133</xm:sqref>
        </x14:dataValidation>
        <x14:dataValidation type="list" allowBlank="1" showInputMessage="1" showErrorMessage="1" errorTitle="Błąd" error="Nieznana kategoria wydatku" promptTitle="Wybierz z listy:" prompt="n/d_x000a_godzina_x000a_szt." xr:uid="{FF9AF078-DB93-4F64-99EC-67747DF1C2A6}">
          <x14:formula1>
            <xm:f>Robocze!$C$3:$C$9</xm:f>
          </x14:formula1>
          <xm:sqref>E137:E146 E20:E29 E33:E42 E46:E55 E59:E68 E72:E81 E85:E94 E98:E107 E111:E120 E124:E133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C6C0F-8437-4EBD-AAE6-9A9EA9138D53}">
  <sheetPr>
    <tabColor theme="5" tint="0.39997558519241921"/>
  </sheetPr>
  <dimension ref="B2:J146"/>
  <sheetViews>
    <sheetView zoomScale="85" zoomScaleNormal="85" workbookViewId="0">
      <selection activeCell="G5" sqref="G5"/>
    </sheetView>
  </sheetViews>
  <sheetFormatPr defaultColWidth="30.88671875" defaultRowHeight="14.4" x14ac:dyDescent="0.3"/>
  <cols>
    <col min="1" max="1" width="5.5546875" style="123" customWidth="1"/>
    <col min="2" max="2" width="5" style="123" customWidth="1"/>
    <col min="3" max="3" width="15.109375" style="123" customWidth="1"/>
    <col min="4" max="4" width="86.6640625" style="123" customWidth="1"/>
    <col min="5" max="5" width="17.6640625" style="123" bestFit="1" customWidth="1"/>
    <col min="6" max="6" width="18.5546875" style="123" customWidth="1"/>
    <col min="7" max="7" width="17.88671875" style="123" bestFit="1" customWidth="1"/>
    <col min="8" max="8" width="15.6640625" style="123" bestFit="1" customWidth="1"/>
    <col min="9" max="9" width="17.6640625" style="123" bestFit="1" customWidth="1"/>
    <col min="10" max="10" width="59.109375" style="123" customWidth="1"/>
    <col min="11" max="16384" width="30.88671875" style="123"/>
  </cols>
  <sheetData>
    <row r="2" spans="3:10" ht="15" thickBot="1" x14ac:dyDescent="0.35"/>
    <row r="3" spans="3:10" x14ac:dyDescent="0.3">
      <c r="C3" s="238" t="s">
        <v>18</v>
      </c>
      <c r="D3" s="239"/>
      <c r="E3" s="239"/>
      <c r="F3" s="239"/>
      <c r="G3" s="240"/>
    </row>
    <row r="4" spans="3:10" x14ac:dyDescent="0.3">
      <c r="C4" s="132" t="s">
        <v>21</v>
      </c>
      <c r="D4" s="130" t="s">
        <v>1</v>
      </c>
      <c r="E4" s="130" t="s">
        <v>15</v>
      </c>
      <c r="F4" s="130" t="s">
        <v>31</v>
      </c>
      <c r="G4" s="133" t="s">
        <v>32</v>
      </c>
    </row>
    <row r="5" spans="3:10" x14ac:dyDescent="0.3">
      <c r="C5" s="145" t="str">
        <f>IF(D5&lt;&gt;"","2."&amp; 10-COUNTBLANK('Etap 2 - prototyp'!B5:B14)+1,"")</f>
        <v/>
      </c>
      <c r="D5" s="104"/>
      <c r="E5" s="146" t="str">
        <f>IF(D5&lt;&gt;"",SUM(I20:I29),"")</f>
        <v/>
      </c>
      <c r="F5" s="87"/>
      <c r="G5" s="88"/>
    </row>
    <row r="6" spans="3:10" x14ac:dyDescent="0.3">
      <c r="C6" s="145" t="str">
        <f>IF(D6&lt;&gt;"","2."&amp; 10-COUNTBLANK('Etap 2 - prototyp'!B5:B14)+2,"")</f>
        <v/>
      </c>
      <c r="D6" s="104"/>
      <c r="E6" s="146" t="str">
        <f>IF(D6&lt;&gt;"",SUM(I33:I42),"")</f>
        <v/>
      </c>
      <c r="F6" s="87"/>
      <c r="G6" s="88"/>
    </row>
    <row r="7" spans="3:10" x14ac:dyDescent="0.3">
      <c r="C7" s="145" t="str">
        <f>IF(D7&lt;&gt;"","2."&amp; 10-COUNTBLANK('Etap 2 - prototyp'!B5:B14)+3,"")</f>
        <v/>
      </c>
      <c r="D7" s="105"/>
      <c r="E7" s="146" t="str">
        <f>IF(D7&lt;&gt;"",SUM(I46:I55),"")</f>
        <v/>
      </c>
      <c r="F7" s="87"/>
      <c r="G7" s="88"/>
    </row>
    <row r="8" spans="3:10" x14ac:dyDescent="0.3">
      <c r="C8" s="145" t="str">
        <f>IF(D8&lt;&gt;"","2."&amp; 10-COUNTBLANK('Etap 2 - prototyp'!B5:B14)+4,"")</f>
        <v/>
      </c>
      <c r="D8" s="105"/>
      <c r="E8" s="146" t="str">
        <f>IF(D8&lt;&gt;"",SUM(I59:I68),"")</f>
        <v/>
      </c>
      <c r="F8" s="87"/>
      <c r="G8" s="88"/>
    </row>
    <row r="9" spans="3:10" x14ac:dyDescent="0.3">
      <c r="C9" s="145" t="str">
        <f>IF(D9&lt;&gt;"","2."&amp; 10-COUNTBLANK('Etap 2 - prototyp'!B5:B14)+5,"")</f>
        <v/>
      </c>
      <c r="D9" s="105"/>
      <c r="E9" s="146" t="str">
        <f>IF(D9&lt;&gt;"",SUM(I72:I81),"")</f>
        <v/>
      </c>
      <c r="F9" s="87"/>
      <c r="G9" s="88"/>
    </row>
    <row r="10" spans="3:10" x14ac:dyDescent="0.3">
      <c r="C10" s="145" t="str">
        <f>IF(D10&lt;&gt;"","2."&amp; 10-COUNTBLANK('Etap 2 - prototyp'!B5:B14)+6,"")</f>
        <v/>
      </c>
      <c r="D10" s="105"/>
      <c r="E10" s="146" t="str">
        <f>IF(D10&lt;&gt;"",SUM(I85:I94),"")</f>
        <v/>
      </c>
      <c r="F10" s="87"/>
      <c r="G10" s="88"/>
    </row>
    <row r="11" spans="3:10" x14ac:dyDescent="0.3">
      <c r="C11" s="145" t="str">
        <f>IF(D11&lt;&gt;"","2."&amp; 10-COUNTBLANK('Etap 2 - prototyp'!B5:B14)+7,"")</f>
        <v/>
      </c>
      <c r="D11" s="105"/>
      <c r="E11" s="146" t="str">
        <f>IF(D11&lt;&gt;"",SUM(I98:I107),"")</f>
        <v/>
      </c>
      <c r="F11" s="87"/>
      <c r="G11" s="88"/>
    </row>
    <row r="12" spans="3:10" x14ac:dyDescent="0.3">
      <c r="C12" s="145" t="str">
        <f>IF(D12&lt;&gt;"","2."&amp; 10-COUNTBLANK('Etap 2 - prototyp'!B5:B14)+8,"")</f>
        <v/>
      </c>
      <c r="D12" s="105"/>
      <c r="E12" s="146" t="str">
        <f>IF(D12&lt;&gt;"",SUM(I111:I120),"")</f>
        <v/>
      </c>
      <c r="F12" s="87"/>
      <c r="G12" s="88"/>
    </row>
    <row r="13" spans="3:10" x14ac:dyDescent="0.3">
      <c r="C13" s="145" t="str">
        <f>IF(D13&lt;&gt;"","2."&amp; 10-COUNTBLANK('Etap 2 - prototyp'!B5:B14)+9,"")</f>
        <v/>
      </c>
      <c r="D13" s="105"/>
      <c r="E13" s="146" t="str">
        <f>IF(D13&lt;&gt;"",SUM(I124:I133),"")</f>
        <v/>
      </c>
      <c r="F13" s="87"/>
      <c r="G13" s="88"/>
    </row>
    <row r="14" spans="3:10" ht="15" thickBot="1" x14ac:dyDescent="0.35">
      <c r="C14" s="147" t="str">
        <f>IF(D14&lt;&gt;"","2."&amp; 10-COUNTBLANK('Etap 2 - prototyp'!B5:B14)+10,"")</f>
        <v/>
      </c>
      <c r="D14" s="106"/>
      <c r="E14" s="148" t="str">
        <f>IF(D14&lt;&gt;"",SUM(I137:I146),"")</f>
        <v/>
      </c>
      <c r="F14" s="89"/>
      <c r="G14" s="90"/>
    </row>
    <row r="15" spans="3:10" ht="15" thickBot="1" x14ac:dyDescent="0.35"/>
    <row r="16" spans="3:10" ht="26.4" thickBot="1" x14ac:dyDescent="0.35">
      <c r="C16" s="241" t="s">
        <v>177</v>
      </c>
      <c r="D16" s="242"/>
      <c r="E16" s="242"/>
      <c r="F16" s="242"/>
      <c r="G16" s="242"/>
      <c r="H16" s="242"/>
      <c r="I16" s="242"/>
      <c r="J16" s="243"/>
    </row>
    <row r="17" spans="2:10" ht="15" thickBot="1" x14ac:dyDescent="0.35"/>
    <row r="18" spans="2:10" ht="18.600000000000001" thickBot="1" x14ac:dyDescent="0.4">
      <c r="B18" s="149"/>
      <c r="C18" s="235" t="str">
        <f>IF('Etap 2 - testowanie'!$D$5&lt;&gt;"",C5&amp;": "&amp;  'Etap 2 - testowanie'!$D$5,"")</f>
        <v/>
      </c>
      <c r="D18" s="236"/>
      <c r="E18" s="236"/>
      <c r="F18" s="236"/>
      <c r="G18" s="236"/>
      <c r="H18" s="236"/>
      <c r="I18" s="236"/>
      <c r="J18" s="237"/>
    </row>
    <row r="19" spans="2:10" x14ac:dyDescent="0.3">
      <c r="B19" s="149"/>
      <c r="C19" s="134" t="s">
        <v>0</v>
      </c>
      <c r="D19" s="131" t="s">
        <v>14</v>
      </c>
      <c r="E19" s="131" t="s">
        <v>2</v>
      </c>
      <c r="F19" s="131" t="s">
        <v>3</v>
      </c>
      <c r="G19" s="131" t="s">
        <v>13</v>
      </c>
      <c r="H19" s="131" t="s">
        <v>4</v>
      </c>
      <c r="I19" s="131" t="s">
        <v>5</v>
      </c>
      <c r="J19" s="129" t="s">
        <v>6</v>
      </c>
    </row>
    <row r="20" spans="2:10" x14ac:dyDescent="0.3">
      <c r="B20" s="117"/>
      <c r="C20" s="145" t="str">
        <f>IF(D20&lt;&gt;"",$C$5&amp;".1","")</f>
        <v/>
      </c>
      <c r="D20" s="173"/>
      <c r="E20" s="83"/>
      <c r="F20" s="83"/>
      <c r="G20" s="83"/>
      <c r="H20" s="83"/>
      <c r="I20" s="146" t="str">
        <f>IF(G20&lt;&gt;"",G20*H20,"")</f>
        <v/>
      </c>
      <c r="J20" s="174"/>
    </row>
    <row r="21" spans="2:10" x14ac:dyDescent="0.3">
      <c r="B21" s="117"/>
      <c r="C21" s="145" t="str">
        <f>IF(D21&lt;&gt;"",$C$5&amp;".2","")</f>
        <v/>
      </c>
      <c r="D21" s="173"/>
      <c r="E21" s="83"/>
      <c r="F21" s="83"/>
      <c r="G21" s="83"/>
      <c r="H21" s="83"/>
      <c r="I21" s="146" t="str">
        <f t="shared" ref="I21:I29" si="0">IF(G21&lt;&gt;"",G21*H21,"")</f>
        <v/>
      </c>
      <c r="J21" s="174"/>
    </row>
    <row r="22" spans="2:10" x14ac:dyDescent="0.3">
      <c r="B22" s="117"/>
      <c r="C22" s="145" t="str">
        <f>IF(D22&lt;&gt;"",$C$5&amp;".3","")</f>
        <v/>
      </c>
      <c r="D22" s="173"/>
      <c r="E22" s="83"/>
      <c r="F22" s="83"/>
      <c r="G22" s="83"/>
      <c r="H22" s="83"/>
      <c r="I22" s="146" t="str">
        <f t="shared" si="0"/>
        <v/>
      </c>
      <c r="J22" s="174"/>
    </row>
    <row r="23" spans="2:10" x14ac:dyDescent="0.3">
      <c r="B23" s="117"/>
      <c r="C23" s="145" t="str">
        <f>IF(D23&lt;&gt;"",$C$5&amp;".4","")</f>
        <v/>
      </c>
      <c r="D23" s="173"/>
      <c r="E23" s="83"/>
      <c r="F23" s="83"/>
      <c r="G23" s="83"/>
      <c r="H23" s="83"/>
      <c r="I23" s="146" t="str">
        <f t="shared" si="0"/>
        <v/>
      </c>
      <c r="J23" s="174"/>
    </row>
    <row r="24" spans="2:10" x14ac:dyDescent="0.3">
      <c r="B24" s="117"/>
      <c r="C24" s="145" t="str">
        <f>IF(D24&lt;&gt;"",$C$5&amp;".5","")</f>
        <v/>
      </c>
      <c r="D24" s="83"/>
      <c r="E24" s="83"/>
      <c r="F24" s="83"/>
      <c r="G24" s="83"/>
      <c r="H24" s="83"/>
      <c r="I24" s="146" t="str">
        <f t="shared" si="0"/>
        <v/>
      </c>
      <c r="J24" s="86"/>
    </row>
    <row r="25" spans="2:10" x14ac:dyDescent="0.3">
      <c r="B25" s="117"/>
      <c r="C25" s="145" t="str">
        <f>IF(D25&lt;&gt;"",$C$5&amp;".6","")</f>
        <v/>
      </c>
      <c r="D25" s="83"/>
      <c r="E25" s="83"/>
      <c r="F25" s="83"/>
      <c r="G25" s="83"/>
      <c r="H25" s="83"/>
      <c r="I25" s="146" t="str">
        <f t="shared" si="0"/>
        <v/>
      </c>
      <c r="J25" s="86"/>
    </row>
    <row r="26" spans="2:10" x14ac:dyDescent="0.3">
      <c r="B26" s="117"/>
      <c r="C26" s="145" t="str">
        <f>IF(D26&lt;&gt;"",$C$5&amp;".7","")</f>
        <v/>
      </c>
      <c r="D26" s="83"/>
      <c r="E26" s="83"/>
      <c r="F26" s="83"/>
      <c r="G26" s="83"/>
      <c r="H26" s="83"/>
      <c r="I26" s="146" t="str">
        <f t="shared" si="0"/>
        <v/>
      </c>
      <c r="J26" s="86"/>
    </row>
    <row r="27" spans="2:10" x14ac:dyDescent="0.3">
      <c r="B27" s="117"/>
      <c r="C27" s="145" t="str">
        <f>IF(D27&lt;&gt;"",$C$5&amp;".8","")</f>
        <v/>
      </c>
      <c r="D27" s="83"/>
      <c r="E27" s="83"/>
      <c r="F27" s="83"/>
      <c r="G27" s="83"/>
      <c r="H27" s="83"/>
      <c r="I27" s="146" t="str">
        <f t="shared" si="0"/>
        <v/>
      </c>
      <c r="J27" s="86"/>
    </row>
    <row r="28" spans="2:10" x14ac:dyDescent="0.3">
      <c r="B28" s="117"/>
      <c r="C28" s="145" t="str">
        <f>IF(D28&lt;&gt;"",$C$5&amp;".9","")</f>
        <v/>
      </c>
      <c r="D28" s="83"/>
      <c r="E28" s="83"/>
      <c r="F28" s="83"/>
      <c r="G28" s="83"/>
      <c r="H28" s="83"/>
      <c r="I28" s="146" t="str">
        <f t="shared" si="0"/>
        <v/>
      </c>
      <c r="J28" s="86"/>
    </row>
    <row r="29" spans="2:10" ht="15" thickBot="1" x14ac:dyDescent="0.35">
      <c r="B29" s="117"/>
      <c r="C29" s="147" t="str">
        <f>IF(D29&lt;&gt;"",$C$5&amp;".10","")</f>
        <v/>
      </c>
      <c r="D29" s="91"/>
      <c r="E29" s="91"/>
      <c r="F29" s="91"/>
      <c r="G29" s="91"/>
      <c r="H29" s="91"/>
      <c r="I29" s="148" t="str">
        <f t="shared" si="0"/>
        <v/>
      </c>
      <c r="J29" s="92"/>
    </row>
    <row r="30" spans="2:10" ht="15" thickBot="1" x14ac:dyDescent="0.35">
      <c r="B30" s="117"/>
      <c r="C30" s="117"/>
      <c r="D30" s="117"/>
      <c r="E30" s="117"/>
      <c r="F30" s="117"/>
      <c r="G30" s="117"/>
      <c r="H30" s="117"/>
      <c r="I30" s="117"/>
      <c r="J30" s="117"/>
    </row>
    <row r="31" spans="2:10" ht="18.600000000000001" thickBot="1" x14ac:dyDescent="0.4">
      <c r="B31" s="117"/>
      <c r="C31" s="235" t="str">
        <f>IF('Etap 2 - testowanie'!$D$6&lt;&gt;"",C6&amp;": "&amp;  'Etap 2 - testowanie'!$D$6,"")</f>
        <v/>
      </c>
      <c r="D31" s="236"/>
      <c r="E31" s="236"/>
      <c r="F31" s="236"/>
      <c r="G31" s="236"/>
      <c r="H31" s="236"/>
      <c r="I31" s="236"/>
      <c r="J31" s="237"/>
    </row>
    <row r="32" spans="2:10" x14ac:dyDescent="0.3">
      <c r="B32" s="117"/>
      <c r="C32" s="134" t="s">
        <v>0</v>
      </c>
      <c r="D32" s="131" t="s">
        <v>14</v>
      </c>
      <c r="E32" s="131" t="s">
        <v>2</v>
      </c>
      <c r="F32" s="131" t="s">
        <v>3</v>
      </c>
      <c r="G32" s="131" t="s">
        <v>13</v>
      </c>
      <c r="H32" s="131" t="s">
        <v>4</v>
      </c>
      <c r="I32" s="131" t="s">
        <v>5</v>
      </c>
      <c r="J32" s="129" t="s">
        <v>6</v>
      </c>
    </row>
    <row r="33" spans="2:10" x14ac:dyDescent="0.3">
      <c r="B33" s="117"/>
      <c r="C33" s="145" t="str">
        <f>IF(D33&lt;&gt;"",$C$6&amp;".1","")</f>
        <v/>
      </c>
      <c r="D33" s="83"/>
      <c r="E33" s="83"/>
      <c r="F33" s="83"/>
      <c r="G33" s="83"/>
      <c r="H33" s="83"/>
      <c r="I33" s="146" t="str">
        <f>IF(G33&lt;&gt;"",G33*H33,"")</f>
        <v/>
      </c>
      <c r="J33" s="86"/>
    </row>
    <row r="34" spans="2:10" x14ac:dyDescent="0.3">
      <c r="B34" s="117"/>
      <c r="C34" s="145" t="str">
        <f>IF(D34&lt;&gt;"",$C$6&amp;".2","")</f>
        <v/>
      </c>
      <c r="D34" s="83"/>
      <c r="E34" s="83"/>
      <c r="F34" s="83"/>
      <c r="G34" s="83"/>
      <c r="H34" s="83"/>
      <c r="I34" s="146" t="str">
        <f t="shared" ref="I34:I42" si="1">IF(G34&lt;&gt;"",G34*H34,"")</f>
        <v/>
      </c>
      <c r="J34" s="86"/>
    </row>
    <row r="35" spans="2:10" x14ac:dyDescent="0.3">
      <c r="B35" s="117"/>
      <c r="C35" s="145" t="str">
        <f>IF(D35&lt;&gt;"",$C$6&amp;".3","")</f>
        <v/>
      </c>
      <c r="D35" s="83"/>
      <c r="E35" s="83"/>
      <c r="F35" s="83"/>
      <c r="G35" s="83"/>
      <c r="H35" s="83"/>
      <c r="I35" s="146" t="str">
        <f t="shared" si="1"/>
        <v/>
      </c>
      <c r="J35" s="86"/>
    </row>
    <row r="36" spans="2:10" x14ac:dyDescent="0.3">
      <c r="B36" s="117"/>
      <c r="C36" s="145" t="str">
        <f>IF(D36&lt;&gt;"",$C$6&amp;".4","")</f>
        <v/>
      </c>
      <c r="D36" s="83"/>
      <c r="E36" s="83"/>
      <c r="F36" s="83"/>
      <c r="G36" s="83"/>
      <c r="H36" s="83"/>
      <c r="I36" s="146" t="str">
        <f t="shared" si="1"/>
        <v/>
      </c>
      <c r="J36" s="86"/>
    </row>
    <row r="37" spans="2:10" x14ac:dyDescent="0.3">
      <c r="B37" s="117"/>
      <c r="C37" s="145" t="str">
        <f>IF(D37&lt;&gt;"",$C$6&amp;".5","")</f>
        <v/>
      </c>
      <c r="D37" s="83"/>
      <c r="E37" s="83"/>
      <c r="F37" s="83"/>
      <c r="G37" s="83"/>
      <c r="H37" s="83"/>
      <c r="I37" s="146" t="str">
        <f t="shared" si="1"/>
        <v/>
      </c>
      <c r="J37" s="86"/>
    </row>
    <row r="38" spans="2:10" x14ac:dyDescent="0.3">
      <c r="B38" s="117"/>
      <c r="C38" s="145" t="str">
        <f>IF(D38&lt;&gt;"",$C$6&amp;".6","")</f>
        <v/>
      </c>
      <c r="D38" s="83"/>
      <c r="E38" s="83"/>
      <c r="F38" s="83"/>
      <c r="G38" s="83"/>
      <c r="H38" s="83"/>
      <c r="I38" s="146" t="str">
        <f t="shared" si="1"/>
        <v/>
      </c>
      <c r="J38" s="86"/>
    </row>
    <row r="39" spans="2:10" x14ac:dyDescent="0.3">
      <c r="B39" s="117"/>
      <c r="C39" s="145" t="str">
        <f>IF(D39&lt;&gt;"",$C$6&amp;".7","")</f>
        <v/>
      </c>
      <c r="D39" s="83"/>
      <c r="E39" s="83"/>
      <c r="F39" s="83"/>
      <c r="G39" s="83"/>
      <c r="H39" s="83"/>
      <c r="I39" s="146" t="str">
        <f t="shared" si="1"/>
        <v/>
      </c>
      <c r="J39" s="86"/>
    </row>
    <row r="40" spans="2:10" x14ac:dyDescent="0.3">
      <c r="B40" s="117"/>
      <c r="C40" s="145" t="str">
        <f>IF(D40&lt;&gt;"",$C$6&amp;".8","")</f>
        <v/>
      </c>
      <c r="D40" s="83"/>
      <c r="E40" s="83"/>
      <c r="F40" s="83"/>
      <c r="G40" s="83"/>
      <c r="H40" s="83"/>
      <c r="I40" s="146" t="str">
        <f t="shared" si="1"/>
        <v/>
      </c>
      <c r="J40" s="86"/>
    </row>
    <row r="41" spans="2:10" x14ac:dyDescent="0.3">
      <c r="B41" s="117"/>
      <c r="C41" s="145" t="str">
        <f>IF(D41&lt;&gt;"",$C$6&amp;".9","")</f>
        <v/>
      </c>
      <c r="D41" s="83"/>
      <c r="E41" s="83"/>
      <c r="F41" s="83"/>
      <c r="G41" s="83"/>
      <c r="H41" s="83"/>
      <c r="I41" s="146" t="str">
        <f t="shared" si="1"/>
        <v/>
      </c>
      <c r="J41" s="86"/>
    </row>
    <row r="42" spans="2:10" ht="15" thickBot="1" x14ac:dyDescent="0.35">
      <c r="B42" s="117"/>
      <c r="C42" s="147" t="str">
        <f>IF(D42&lt;&gt;"",$C$6&amp;".10","")</f>
        <v/>
      </c>
      <c r="D42" s="91"/>
      <c r="E42" s="91"/>
      <c r="F42" s="91"/>
      <c r="G42" s="91"/>
      <c r="H42" s="91"/>
      <c r="I42" s="148" t="str">
        <f t="shared" si="1"/>
        <v/>
      </c>
      <c r="J42" s="92"/>
    </row>
    <row r="43" spans="2:10" ht="15" thickBot="1" x14ac:dyDescent="0.35">
      <c r="B43" s="117"/>
      <c r="C43" s="117"/>
      <c r="D43" s="117"/>
      <c r="E43" s="117"/>
      <c r="F43" s="117"/>
      <c r="G43" s="117"/>
      <c r="H43" s="117"/>
      <c r="I43" s="117"/>
      <c r="J43" s="117"/>
    </row>
    <row r="44" spans="2:10" ht="18.600000000000001" thickBot="1" x14ac:dyDescent="0.4">
      <c r="B44" s="117"/>
      <c r="C44" s="235" t="str">
        <f>IF('Etap 2 - testowanie'!$D$7&lt;&gt;"",C7&amp;": "&amp;  'Etap 2 - testowanie'!$D$7,"")</f>
        <v/>
      </c>
      <c r="D44" s="236"/>
      <c r="E44" s="236"/>
      <c r="F44" s="236"/>
      <c r="G44" s="236"/>
      <c r="H44" s="236"/>
      <c r="I44" s="236"/>
      <c r="J44" s="237"/>
    </row>
    <row r="45" spans="2:10" x14ac:dyDescent="0.3">
      <c r="B45" s="117"/>
      <c r="C45" s="134" t="s">
        <v>0</v>
      </c>
      <c r="D45" s="131" t="s">
        <v>14</v>
      </c>
      <c r="E45" s="131" t="s">
        <v>2</v>
      </c>
      <c r="F45" s="131" t="s">
        <v>3</v>
      </c>
      <c r="G45" s="131" t="s">
        <v>13</v>
      </c>
      <c r="H45" s="131" t="s">
        <v>4</v>
      </c>
      <c r="I45" s="131" t="s">
        <v>5</v>
      </c>
      <c r="J45" s="129" t="s">
        <v>6</v>
      </c>
    </row>
    <row r="46" spans="2:10" x14ac:dyDescent="0.3">
      <c r="B46" s="117"/>
      <c r="C46" s="145" t="str">
        <f>IF(D46&lt;&gt;"",$C$7&amp;".1","")</f>
        <v/>
      </c>
      <c r="D46" s="83"/>
      <c r="E46" s="83"/>
      <c r="F46" s="83"/>
      <c r="G46" s="83"/>
      <c r="H46" s="83"/>
      <c r="I46" s="146" t="str">
        <f>IF(G46&lt;&gt;"",G46*H46,"")</f>
        <v/>
      </c>
      <c r="J46" s="86"/>
    </row>
    <row r="47" spans="2:10" x14ac:dyDescent="0.3">
      <c r="B47" s="117"/>
      <c r="C47" s="145" t="str">
        <f>IF(D47&lt;&gt;"",$C$7&amp;".2","")</f>
        <v/>
      </c>
      <c r="D47" s="83"/>
      <c r="E47" s="83"/>
      <c r="F47" s="83"/>
      <c r="G47" s="83"/>
      <c r="H47" s="83"/>
      <c r="I47" s="146" t="str">
        <f t="shared" ref="I47:I55" si="2">IF(G47&lt;&gt;"",G47*H47,"")</f>
        <v/>
      </c>
      <c r="J47" s="86"/>
    </row>
    <row r="48" spans="2:10" x14ac:dyDescent="0.3">
      <c r="B48" s="117"/>
      <c r="C48" s="145" t="str">
        <f>IF(D48&lt;&gt;"",$C$7&amp;".3","")</f>
        <v/>
      </c>
      <c r="D48" s="83"/>
      <c r="E48" s="83"/>
      <c r="F48" s="83"/>
      <c r="G48" s="83"/>
      <c r="H48" s="83"/>
      <c r="I48" s="146" t="str">
        <f t="shared" si="2"/>
        <v/>
      </c>
      <c r="J48" s="86"/>
    </row>
    <row r="49" spans="2:10" x14ac:dyDescent="0.3">
      <c r="B49" s="117"/>
      <c r="C49" s="145" t="str">
        <f>IF(D49&lt;&gt;"",$C$7&amp;".4","")</f>
        <v/>
      </c>
      <c r="D49" s="83"/>
      <c r="E49" s="83"/>
      <c r="F49" s="83"/>
      <c r="G49" s="83"/>
      <c r="H49" s="83"/>
      <c r="I49" s="146" t="str">
        <f t="shared" si="2"/>
        <v/>
      </c>
      <c r="J49" s="86"/>
    </row>
    <row r="50" spans="2:10" x14ac:dyDescent="0.3">
      <c r="B50" s="117"/>
      <c r="C50" s="145" t="str">
        <f>IF(D50&lt;&gt;"",$C$7&amp;".5","")</f>
        <v/>
      </c>
      <c r="D50" s="83"/>
      <c r="E50" s="83"/>
      <c r="F50" s="83"/>
      <c r="G50" s="83"/>
      <c r="H50" s="83"/>
      <c r="I50" s="146" t="str">
        <f t="shared" si="2"/>
        <v/>
      </c>
      <c r="J50" s="86"/>
    </row>
    <row r="51" spans="2:10" x14ac:dyDescent="0.3">
      <c r="B51" s="117"/>
      <c r="C51" s="145" t="str">
        <f>IF(D51&lt;&gt;"",$C$7&amp;".6","")</f>
        <v/>
      </c>
      <c r="D51" s="83"/>
      <c r="E51" s="83"/>
      <c r="F51" s="83"/>
      <c r="G51" s="83"/>
      <c r="H51" s="83"/>
      <c r="I51" s="146" t="str">
        <f t="shared" si="2"/>
        <v/>
      </c>
      <c r="J51" s="86"/>
    </row>
    <row r="52" spans="2:10" x14ac:dyDescent="0.3">
      <c r="B52" s="117"/>
      <c r="C52" s="145" t="str">
        <f>IF(D52&lt;&gt;"",$C$7&amp;".7","")</f>
        <v/>
      </c>
      <c r="D52" s="83"/>
      <c r="E52" s="83"/>
      <c r="F52" s="83"/>
      <c r="G52" s="83"/>
      <c r="H52" s="83"/>
      <c r="I52" s="146" t="str">
        <f t="shared" si="2"/>
        <v/>
      </c>
      <c r="J52" s="86"/>
    </row>
    <row r="53" spans="2:10" x14ac:dyDescent="0.3">
      <c r="B53" s="117"/>
      <c r="C53" s="145" t="str">
        <f>IF(D53&lt;&gt;"",$C$7&amp;".8","")</f>
        <v/>
      </c>
      <c r="D53" s="83"/>
      <c r="E53" s="83"/>
      <c r="F53" s="83"/>
      <c r="G53" s="83"/>
      <c r="H53" s="83"/>
      <c r="I53" s="146" t="str">
        <f t="shared" si="2"/>
        <v/>
      </c>
      <c r="J53" s="86"/>
    </row>
    <row r="54" spans="2:10" x14ac:dyDescent="0.3">
      <c r="B54" s="117"/>
      <c r="C54" s="145" t="str">
        <f>IF(D54&lt;&gt;"",$C$7&amp;".9","")</f>
        <v/>
      </c>
      <c r="D54" s="83"/>
      <c r="E54" s="83"/>
      <c r="F54" s="83"/>
      <c r="G54" s="83"/>
      <c r="H54" s="83"/>
      <c r="I54" s="146" t="str">
        <f t="shared" si="2"/>
        <v/>
      </c>
      <c r="J54" s="86"/>
    </row>
    <row r="55" spans="2:10" ht="15" thickBot="1" x14ac:dyDescent="0.35">
      <c r="B55" s="117"/>
      <c r="C55" s="147" t="str">
        <f>IF(D55&lt;&gt;"",$C$7&amp;".10","")</f>
        <v/>
      </c>
      <c r="D55" s="91"/>
      <c r="E55" s="91"/>
      <c r="F55" s="91"/>
      <c r="G55" s="91"/>
      <c r="H55" s="91"/>
      <c r="I55" s="148" t="str">
        <f t="shared" si="2"/>
        <v/>
      </c>
      <c r="J55" s="92"/>
    </row>
    <row r="56" spans="2:10" ht="15" thickBot="1" x14ac:dyDescent="0.35">
      <c r="B56" s="117"/>
      <c r="C56" s="117"/>
      <c r="D56" s="117"/>
      <c r="E56" s="117"/>
      <c r="F56" s="117"/>
      <c r="G56" s="117"/>
      <c r="H56" s="117"/>
      <c r="I56" s="117"/>
      <c r="J56" s="117"/>
    </row>
    <row r="57" spans="2:10" ht="18.600000000000001" thickBot="1" x14ac:dyDescent="0.4">
      <c r="B57" s="117"/>
      <c r="C57" s="235" t="str">
        <f>IF('Etap 2 - testowanie'!$D$8&lt;&gt;"",C8&amp;": "&amp;  'Etap 2 - testowanie'!$D$8,"")</f>
        <v/>
      </c>
      <c r="D57" s="236"/>
      <c r="E57" s="236"/>
      <c r="F57" s="236"/>
      <c r="G57" s="236"/>
      <c r="H57" s="236"/>
      <c r="I57" s="236"/>
      <c r="J57" s="237"/>
    </row>
    <row r="58" spans="2:10" x14ac:dyDescent="0.3">
      <c r="B58" s="117"/>
      <c r="C58" s="134" t="s">
        <v>0</v>
      </c>
      <c r="D58" s="131" t="s">
        <v>14</v>
      </c>
      <c r="E58" s="131" t="s">
        <v>2</v>
      </c>
      <c r="F58" s="131" t="s">
        <v>3</v>
      </c>
      <c r="G58" s="131" t="s">
        <v>13</v>
      </c>
      <c r="H58" s="131" t="s">
        <v>4</v>
      </c>
      <c r="I58" s="131" t="s">
        <v>5</v>
      </c>
      <c r="J58" s="129" t="s">
        <v>6</v>
      </c>
    </row>
    <row r="59" spans="2:10" x14ac:dyDescent="0.3">
      <c r="B59" s="117"/>
      <c r="C59" s="145" t="str">
        <f>IF(D59&lt;&gt;"",$C$8&amp;".1","")</f>
        <v/>
      </c>
      <c r="D59" s="83"/>
      <c r="E59" s="83"/>
      <c r="F59" s="83"/>
      <c r="G59" s="83"/>
      <c r="H59" s="83"/>
      <c r="I59" s="146" t="str">
        <f>IF(G59&lt;&gt;"",G59*H59,"")</f>
        <v/>
      </c>
      <c r="J59" s="86"/>
    </row>
    <row r="60" spans="2:10" x14ac:dyDescent="0.3">
      <c r="B60" s="117"/>
      <c r="C60" s="145" t="str">
        <f>IF(D60&lt;&gt;"",$C$8&amp;".2","")</f>
        <v/>
      </c>
      <c r="D60" s="83"/>
      <c r="E60" s="83"/>
      <c r="F60" s="83"/>
      <c r="G60" s="83"/>
      <c r="H60" s="83"/>
      <c r="I60" s="146" t="str">
        <f t="shared" ref="I60:I68" si="3">IF(G60&lt;&gt;"",G60*H60,"")</f>
        <v/>
      </c>
      <c r="J60" s="86"/>
    </row>
    <row r="61" spans="2:10" x14ac:dyDescent="0.3">
      <c r="B61" s="117"/>
      <c r="C61" s="145" t="str">
        <f>IF(D61&lt;&gt;"",$C$8&amp;".3","")</f>
        <v/>
      </c>
      <c r="D61" s="83"/>
      <c r="E61" s="83"/>
      <c r="F61" s="83"/>
      <c r="G61" s="83"/>
      <c r="H61" s="83"/>
      <c r="I61" s="146" t="str">
        <f t="shared" si="3"/>
        <v/>
      </c>
      <c r="J61" s="86"/>
    </row>
    <row r="62" spans="2:10" x14ac:dyDescent="0.3">
      <c r="B62" s="117"/>
      <c r="C62" s="145" t="str">
        <f>IF(D62&lt;&gt;"",$C$8&amp;".4","")</f>
        <v/>
      </c>
      <c r="D62" s="83"/>
      <c r="E62" s="83"/>
      <c r="F62" s="83"/>
      <c r="G62" s="83"/>
      <c r="H62" s="83"/>
      <c r="I62" s="146" t="str">
        <f t="shared" si="3"/>
        <v/>
      </c>
      <c r="J62" s="86"/>
    </row>
    <row r="63" spans="2:10" x14ac:dyDescent="0.3">
      <c r="B63" s="117"/>
      <c r="C63" s="145" t="str">
        <f>IF(D63&lt;&gt;"",$C$8&amp;".5","")</f>
        <v/>
      </c>
      <c r="D63" s="83"/>
      <c r="E63" s="83"/>
      <c r="F63" s="83"/>
      <c r="G63" s="83"/>
      <c r="H63" s="83"/>
      <c r="I63" s="146" t="str">
        <f t="shared" si="3"/>
        <v/>
      </c>
      <c r="J63" s="86"/>
    </row>
    <row r="64" spans="2:10" x14ac:dyDescent="0.3">
      <c r="B64" s="117"/>
      <c r="C64" s="145" t="str">
        <f>IF(D64&lt;&gt;"",$C$8&amp;".6","")</f>
        <v/>
      </c>
      <c r="D64" s="83"/>
      <c r="E64" s="83"/>
      <c r="F64" s="83"/>
      <c r="G64" s="83"/>
      <c r="H64" s="83"/>
      <c r="I64" s="146" t="str">
        <f t="shared" si="3"/>
        <v/>
      </c>
      <c r="J64" s="86"/>
    </row>
    <row r="65" spans="2:10" x14ac:dyDescent="0.3">
      <c r="B65" s="117"/>
      <c r="C65" s="145" t="str">
        <f>IF(D65&lt;&gt;"",$C$8&amp;".7","")</f>
        <v/>
      </c>
      <c r="D65" s="83"/>
      <c r="E65" s="83"/>
      <c r="F65" s="83"/>
      <c r="G65" s="83"/>
      <c r="H65" s="83"/>
      <c r="I65" s="146" t="str">
        <f t="shared" si="3"/>
        <v/>
      </c>
      <c r="J65" s="86"/>
    </row>
    <row r="66" spans="2:10" x14ac:dyDescent="0.3">
      <c r="B66" s="117"/>
      <c r="C66" s="145" t="str">
        <f>IF(D66&lt;&gt;"",$C$8&amp;".8","")</f>
        <v/>
      </c>
      <c r="D66" s="83"/>
      <c r="E66" s="83"/>
      <c r="F66" s="83"/>
      <c r="G66" s="83"/>
      <c r="H66" s="83"/>
      <c r="I66" s="146" t="str">
        <f t="shared" si="3"/>
        <v/>
      </c>
      <c r="J66" s="86"/>
    </row>
    <row r="67" spans="2:10" x14ac:dyDescent="0.3">
      <c r="B67" s="117"/>
      <c r="C67" s="145" t="str">
        <f>IF(D67&lt;&gt;"",$C$8&amp;".9","")</f>
        <v/>
      </c>
      <c r="D67" s="83"/>
      <c r="E67" s="83"/>
      <c r="F67" s="83"/>
      <c r="G67" s="83"/>
      <c r="H67" s="83"/>
      <c r="I67" s="146" t="str">
        <f t="shared" si="3"/>
        <v/>
      </c>
      <c r="J67" s="86"/>
    </row>
    <row r="68" spans="2:10" ht="15" thickBot="1" x14ac:dyDescent="0.35">
      <c r="B68" s="117"/>
      <c r="C68" s="147" t="str">
        <f>IF(D68&lt;&gt;"",$C$8&amp;".10","")</f>
        <v/>
      </c>
      <c r="D68" s="91"/>
      <c r="E68" s="91"/>
      <c r="F68" s="91"/>
      <c r="G68" s="91"/>
      <c r="H68" s="91"/>
      <c r="I68" s="148" t="str">
        <f t="shared" si="3"/>
        <v/>
      </c>
      <c r="J68" s="92"/>
    </row>
    <row r="69" spans="2:10" ht="15" thickBot="1" x14ac:dyDescent="0.35">
      <c r="B69" s="117"/>
      <c r="C69" s="117"/>
      <c r="D69" s="117"/>
      <c r="E69" s="117"/>
      <c r="F69" s="117"/>
      <c r="G69" s="117"/>
      <c r="H69" s="117"/>
      <c r="I69" s="117"/>
      <c r="J69" s="117"/>
    </row>
    <row r="70" spans="2:10" ht="18.600000000000001" thickBot="1" x14ac:dyDescent="0.4">
      <c r="B70" s="117"/>
      <c r="C70" s="235" t="str">
        <f>IF('Etap 2 - testowanie'!$D$9&lt;&gt;"",C9&amp;": "&amp;  'Etap 2 - testowanie'!$D$9,"")</f>
        <v/>
      </c>
      <c r="D70" s="236"/>
      <c r="E70" s="236"/>
      <c r="F70" s="236"/>
      <c r="G70" s="236"/>
      <c r="H70" s="236"/>
      <c r="I70" s="236"/>
      <c r="J70" s="237"/>
    </row>
    <row r="71" spans="2:10" x14ac:dyDescent="0.3">
      <c r="B71" s="117"/>
      <c r="C71" s="134" t="s">
        <v>0</v>
      </c>
      <c r="D71" s="131" t="s">
        <v>14</v>
      </c>
      <c r="E71" s="131" t="s">
        <v>2</v>
      </c>
      <c r="F71" s="131" t="s">
        <v>3</v>
      </c>
      <c r="G71" s="131" t="s">
        <v>13</v>
      </c>
      <c r="H71" s="131" t="s">
        <v>4</v>
      </c>
      <c r="I71" s="131" t="s">
        <v>5</v>
      </c>
      <c r="J71" s="129" t="s">
        <v>6</v>
      </c>
    </row>
    <row r="72" spans="2:10" x14ac:dyDescent="0.3">
      <c r="B72" s="117"/>
      <c r="C72" s="145" t="str">
        <f>IF(D72&lt;&gt;"",$C$9&amp;".1","")</f>
        <v/>
      </c>
      <c r="D72" s="83"/>
      <c r="E72" s="83"/>
      <c r="F72" s="83"/>
      <c r="G72" s="83"/>
      <c r="H72" s="83"/>
      <c r="I72" s="146" t="str">
        <f>IF(G72&lt;&gt;"",G72*H72,"")</f>
        <v/>
      </c>
      <c r="J72" s="86"/>
    </row>
    <row r="73" spans="2:10" x14ac:dyDescent="0.3">
      <c r="B73" s="117"/>
      <c r="C73" s="145" t="str">
        <f>IF(D73&lt;&gt;"",$C$9&amp;".2","")</f>
        <v/>
      </c>
      <c r="D73" s="83"/>
      <c r="E73" s="83"/>
      <c r="F73" s="83"/>
      <c r="G73" s="83"/>
      <c r="H73" s="83"/>
      <c r="I73" s="146" t="str">
        <f t="shared" ref="I73:I81" si="4">IF(G73&lt;&gt;"",G73*H73,"")</f>
        <v/>
      </c>
      <c r="J73" s="86"/>
    </row>
    <row r="74" spans="2:10" x14ac:dyDescent="0.3">
      <c r="B74" s="117"/>
      <c r="C74" s="145" t="str">
        <f>IF(D74&lt;&gt;"",$C$9&amp;".3","")</f>
        <v/>
      </c>
      <c r="D74" s="83"/>
      <c r="E74" s="83"/>
      <c r="F74" s="83"/>
      <c r="G74" s="83"/>
      <c r="H74" s="83"/>
      <c r="I74" s="146" t="str">
        <f t="shared" si="4"/>
        <v/>
      </c>
      <c r="J74" s="86"/>
    </row>
    <row r="75" spans="2:10" x14ac:dyDescent="0.3">
      <c r="B75" s="117"/>
      <c r="C75" s="145" t="str">
        <f>IF(D75&lt;&gt;"",$C$9&amp;".4","")</f>
        <v/>
      </c>
      <c r="D75" s="83"/>
      <c r="E75" s="83"/>
      <c r="F75" s="83"/>
      <c r="G75" s="83"/>
      <c r="H75" s="83"/>
      <c r="I75" s="146" t="str">
        <f t="shared" si="4"/>
        <v/>
      </c>
      <c r="J75" s="86"/>
    </row>
    <row r="76" spans="2:10" x14ac:dyDescent="0.3">
      <c r="B76" s="117"/>
      <c r="C76" s="145" t="str">
        <f>IF(D76&lt;&gt;"",$C$9&amp;".5","")</f>
        <v/>
      </c>
      <c r="D76" s="83"/>
      <c r="E76" s="83"/>
      <c r="F76" s="83"/>
      <c r="G76" s="83"/>
      <c r="H76" s="83"/>
      <c r="I76" s="146" t="str">
        <f t="shared" si="4"/>
        <v/>
      </c>
      <c r="J76" s="86"/>
    </row>
    <row r="77" spans="2:10" x14ac:dyDescent="0.3">
      <c r="B77" s="117"/>
      <c r="C77" s="145" t="str">
        <f>IF(D77&lt;&gt;"",$C$9&amp;".6","")</f>
        <v/>
      </c>
      <c r="D77" s="83"/>
      <c r="E77" s="83"/>
      <c r="F77" s="83"/>
      <c r="G77" s="83"/>
      <c r="H77" s="83"/>
      <c r="I77" s="146" t="str">
        <f t="shared" si="4"/>
        <v/>
      </c>
      <c r="J77" s="86"/>
    </row>
    <row r="78" spans="2:10" x14ac:dyDescent="0.3">
      <c r="B78" s="117"/>
      <c r="C78" s="145" t="str">
        <f>IF(D78&lt;&gt;"",$C$9&amp;".7","")</f>
        <v/>
      </c>
      <c r="D78" s="83"/>
      <c r="E78" s="83"/>
      <c r="F78" s="83"/>
      <c r="G78" s="83"/>
      <c r="H78" s="83"/>
      <c r="I78" s="146" t="str">
        <f t="shared" si="4"/>
        <v/>
      </c>
      <c r="J78" s="86"/>
    </row>
    <row r="79" spans="2:10" x14ac:dyDescent="0.3">
      <c r="B79" s="117"/>
      <c r="C79" s="145" t="str">
        <f>IF(D79&lt;&gt;"",$C$9&amp;".8","")</f>
        <v/>
      </c>
      <c r="D79" s="83"/>
      <c r="E79" s="83"/>
      <c r="F79" s="83"/>
      <c r="G79" s="83"/>
      <c r="H79" s="83"/>
      <c r="I79" s="146" t="str">
        <f t="shared" si="4"/>
        <v/>
      </c>
      <c r="J79" s="86"/>
    </row>
    <row r="80" spans="2:10" x14ac:dyDescent="0.3">
      <c r="B80" s="117"/>
      <c r="C80" s="145" t="str">
        <f>IF(D80&lt;&gt;"",$C$9&amp;".9","")</f>
        <v/>
      </c>
      <c r="D80" s="83"/>
      <c r="E80" s="83"/>
      <c r="F80" s="83"/>
      <c r="G80" s="83"/>
      <c r="H80" s="83"/>
      <c r="I80" s="146" t="str">
        <f t="shared" si="4"/>
        <v/>
      </c>
      <c r="J80" s="86"/>
    </row>
    <row r="81" spans="2:10" ht="15" thickBot="1" x14ac:dyDescent="0.35">
      <c r="B81" s="117"/>
      <c r="C81" s="147" t="str">
        <f>IF(D81&lt;&gt;"",$C$9&amp;".10","")</f>
        <v/>
      </c>
      <c r="D81" s="91"/>
      <c r="E81" s="91"/>
      <c r="F81" s="91"/>
      <c r="G81" s="91"/>
      <c r="H81" s="91"/>
      <c r="I81" s="148" t="str">
        <f t="shared" si="4"/>
        <v/>
      </c>
      <c r="J81" s="92"/>
    </row>
    <row r="82" spans="2:10" ht="15" thickBot="1" x14ac:dyDescent="0.35">
      <c r="B82" s="117"/>
      <c r="C82" s="117"/>
      <c r="D82" s="117"/>
      <c r="E82" s="117"/>
      <c r="F82" s="117"/>
      <c r="G82" s="117"/>
      <c r="H82" s="117"/>
      <c r="I82" s="117"/>
      <c r="J82" s="117"/>
    </row>
    <row r="83" spans="2:10" ht="18.600000000000001" thickBot="1" x14ac:dyDescent="0.4">
      <c r="B83" s="117"/>
      <c r="C83" s="235" t="str">
        <f>IF('Etap 2 - testowanie'!$D$10&lt;&gt;"",C10&amp;": "&amp;  'Etap 2 - testowanie'!$D$10,"")</f>
        <v/>
      </c>
      <c r="D83" s="236"/>
      <c r="E83" s="236"/>
      <c r="F83" s="236"/>
      <c r="G83" s="236"/>
      <c r="H83" s="236"/>
      <c r="I83" s="236"/>
      <c r="J83" s="237"/>
    </row>
    <row r="84" spans="2:10" x14ac:dyDescent="0.3">
      <c r="B84" s="117"/>
      <c r="C84" s="134" t="s">
        <v>0</v>
      </c>
      <c r="D84" s="131" t="s">
        <v>14</v>
      </c>
      <c r="E84" s="131" t="s">
        <v>2</v>
      </c>
      <c r="F84" s="131" t="s">
        <v>3</v>
      </c>
      <c r="G84" s="131" t="s">
        <v>13</v>
      </c>
      <c r="H84" s="131" t="s">
        <v>4</v>
      </c>
      <c r="I84" s="131" t="s">
        <v>5</v>
      </c>
      <c r="J84" s="129" t="s">
        <v>6</v>
      </c>
    </row>
    <row r="85" spans="2:10" x14ac:dyDescent="0.3">
      <c r="B85" s="117"/>
      <c r="C85" s="145" t="str">
        <f>IF(D85&lt;&gt;"",$C$10&amp;".1","")</f>
        <v/>
      </c>
      <c r="D85" s="83"/>
      <c r="E85" s="83"/>
      <c r="F85" s="83"/>
      <c r="G85" s="83"/>
      <c r="H85" s="83"/>
      <c r="I85" s="146" t="str">
        <f>IF(G85&lt;&gt;"",G85*H85,"")</f>
        <v/>
      </c>
      <c r="J85" s="86"/>
    </row>
    <row r="86" spans="2:10" x14ac:dyDescent="0.3">
      <c r="B86" s="117"/>
      <c r="C86" s="145" t="str">
        <f>IF(D86&lt;&gt;"",$C$10&amp;".2","")</f>
        <v/>
      </c>
      <c r="D86" s="83"/>
      <c r="E86" s="83"/>
      <c r="F86" s="83"/>
      <c r="G86" s="83"/>
      <c r="H86" s="83"/>
      <c r="I86" s="146" t="str">
        <f t="shared" ref="I86:I94" si="5">IF(G86&lt;&gt;"",G86*H86,"")</f>
        <v/>
      </c>
      <c r="J86" s="86"/>
    </row>
    <row r="87" spans="2:10" x14ac:dyDescent="0.3">
      <c r="B87" s="117"/>
      <c r="C87" s="145" t="str">
        <f>IF(D87&lt;&gt;"",$C$10&amp;".3","")</f>
        <v/>
      </c>
      <c r="D87" s="83"/>
      <c r="E87" s="83"/>
      <c r="F87" s="83"/>
      <c r="G87" s="83"/>
      <c r="H87" s="83"/>
      <c r="I87" s="146" t="str">
        <f t="shared" si="5"/>
        <v/>
      </c>
      <c r="J87" s="86"/>
    </row>
    <row r="88" spans="2:10" x14ac:dyDescent="0.3">
      <c r="B88" s="117"/>
      <c r="C88" s="145" t="str">
        <f>IF(D88&lt;&gt;"",$C$10&amp;".4","")</f>
        <v/>
      </c>
      <c r="D88" s="83"/>
      <c r="E88" s="83"/>
      <c r="F88" s="83"/>
      <c r="G88" s="83"/>
      <c r="H88" s="83"/>
      <c r="I88" s="146" t="str">
        <f t="shared" si="5"/>
        <v/>
      </c>
      <c r="J88" s="86"/>
    </row>
    <row r="89" spans="2:10" x14ac:dyDescent="0.3">
      <c r="B89" s="117"/>
      <c r="C89" s="145" t="str">
        <f>IF(D89&lt;&gt;"",$C$10&amp;".5","")</f>
        <v/>
      </c>
      <c r="D89" s="83"/>
      <c r="E89" s="83"/>
      <c r="F89" s="83"/>
      <c r="G89" s="83"/>
      <c r="H89" s="83"/>
      <c r="I89" s="146" t="str">
        <f t="shared" si="5"/>
        <v/>
      </c>
      <c r="J89" s="86"/>
    </row>
    <row r="90" spans="2:10" x14ac:dyDescent="0.3">
      <c r="B90" s="117"/>
      <c r="C90" s="145" t="str">
        <f>IF(D90&lt;&gt;"",$C$10&amp;".6","")</f>
        <v/>
      </c>
      <c r="D90" s="83"/>
      <c r="E90" s="83"/>
      <c r="F90" s="83"/>
      <c r="G90" s="83"/>
      <c r="H90" s="83"/>
      <c r="I90" s="146" t="str">
        <f t="shared" si="5"/>
        <v/>
      </c>
      <c r="J90" s="86"/>
    </row>
    <row r="91" spans="2:10" x14ac:dyDescent="0.3">
      <c r="B91" s="117"/>
      <c r="C91" s="145" t="str">
        <f>IF(D91&lt;&gt;"",$C$10&amp;".7","")</f>
        <v/>
      </c>
      <c r="D91" s="83"/>
      <c r="E91" s="83"/>
      <c r="F91" s="83"/>
      <c r="G91" s="83"/>
      <c r="H91" s="83"/>
      <c r="I91" s="146" t="str">
        <f t="shared" si="5"/>
        <v/>
      </c>
      <c r="J91" s="86"/>
    </row>
    <row r="92" spans="2:10" x14ac:dyDescent="0.3">
      <c r="B92" s="117"/>
      <c r="C92" s="145" t="str">
        <f>IF(D92&lt;&gt;"",$C$10&amp;".8","")</f>
        <v/>
      </c>
      <c r="D92" s="83"/>
      <c r="E92" s="83"/>
      <c r="F92" s="83"/>
      <c r="G92" s="83"/>
      <c r="H92" s="83"/>
      <c r="I92" s="146" t="str">
        <f t="shared" si="5"/>
        <v/>
      </c>
      <c r="J92" s="86"/>
    </row>
    <row r="93" spans="2:10" x14ac:dyDescent="0.3">
      <c r="B93" s="117"/>
      <c r="C93" s="145" t="str">
        <f>IF(D93&lt;&gt;"",$C$10&amp;".9","")</f>
        <v/>
      </c>
      <c r="D93" s="83"/>
      <c r="E93" s="83"/>
      <c r="F93" s="83"/>
      <c r="G93" s="83"/>
      <c r="H93" s="83"/>
      <c r="I93" s="146" t="str">
        <f t="shared" si="5"/>
        <v/>
      </c>
      <c r="J93" s="86"/>
    </row>
    <row r="94" spans="2:10" ht="15" thickBot="1" x14ac:dyDescent="0.35">
      <c r="B94" s="117"/>
      <c r="C94" s="147" t="str">
        <f>IF(D94&lt;&gt;"",$C$10&amp;".10","")</f>
        <v/>
      </c>
      <c r="D94" s="91"/>
      <c r="E94" s="91"/>
      <c r="F94" s="91"/>
      <c r="G94" s="91"/>
      <c r="H94" s="91"/>
      <c r="I94" s="148" t="str">
        <f t="shared" si="5"/>
        <v/>
      </c>
      <c r="J94" s="92"/>
    </row>
    <row r="95" spans="2:10" ht="15" thickBot="1" x14ac:dyDescent="0.35">
      <c r="B95" s="117"/>
      <c r="C95" s="117"/>
      <c r="D95" s="117"/>
      <c r="E95" s="117"/>
      <c r="F95" s="117"/>
      <c r="G95" s="117"/>
      <c r="H95" s="117"/>
      <c r="I95" s="117"/>
      <c r="J95" s="117"/>
    </row>
    <row r="96" spans="2:10" ht="18.600000000000001" thickBot="1" x14ac:dyDescent="0.4">
      <c r="B96" s="117"/>
      <c r="C96" s="235" t="str">
        <f>IF('Etap 2 - testowanie'!$D$11&lt;&gt;"",C11&amp;": "&amp;  'Etap 2 - testowanie'!$D$11,"")</f>
        <v/>
      </c>
      <c r="D96" s="236"/>
      <c r="E96" s="236"/>
      <c r="F96" s="236"/>
      <c r="G96" s="236"/>
      <c r="H96" s="236"/>
      <c r="I96" s="236"/>
      <c r="J96" s="237"/>
    </row>
    <row r="97" spans="2:10" x14ac:dyDescent="0.3">
      <c r="B97" s="117"/>
      <c r="C97" s="134" t="s">
        <v>0</v>
      </c>
      <c r="D97" s="131" t="s">
        <v>14</v>
      </c>
      <c r="E97" s="131" t="s">
        <v>2</v>
      </c>
      <c r="F97" s="131" t="s">
        <v>3</v>
      </c>
      <c r="G97" s="131" t="s">
        <v>13</v>
      </c>
      <c r="H97" s="131" t="s">
        <v>4</v>
      </c>
      <c r="I97" s="131" t="s">
        <v>5</v>
      </c>
      <c r="J97" s="129" t="s">
        <v>6</v>
      </c>
    </row>
    <row r="98" spans="2:10" x14ac:dyDescent="0.3">
      <c r="B98" s="117"/>
      <c r="C98" s="145" t="str">
        <f>IF(D98&lt;&gt;"",$C$11&amp;".1","")</f>
        <v/>
      </c>
      <c r="D98" s="83"/>
      <c r="E98" s="83"/>
      <c r="F98" s="83"/>
      <c r="G98" s="83"/>
      <c r="H98" s="83"/>
      <c r="I98" s="146" t="str">
        <f>IF(G98&lt;&gt;"",G98*H98,"")</f>
        <v/>
      </c>
      <c r="J98" s="86"/>
    </row>
    <row r="99" spans="2:10" x14ac:dyDescent="0.3">
      <c r="B99" s="117"/>
      <c r="C99" s="145" t="str">
        <f>IF(D99&lt;&gt;"",$C$11&amp;".2","")</f>
        <v/>
      </c>
      <c r="D99" s="83"/>
      <c r="E99" s="83"/>
      <c r="F99" s="83"/>
      <c r="G99" s="83"/>
      <c r="H99" s="83"/>
      <c r="I99" s="146" t="str">
        <f t="shared" ref="I99:I107" si="6">IF(G99&lt;&gt;"",G99*H99,"")</f>
        <v/>
      </c>
      <c r="J99" s="86"/>
    </row>
    <row r="100" spans="2:10" x14ac:dyDescent="0.3">
      <c r="B100" s="117"/>
      <c r="C100" s="145" t="str">
        <f>IF(D100&lt;&gt;"",$C$11&amp;".3","")</f>
        <v/>
      </c>
      <c r="D100" s="83"/>
      <c r="E100" s="83"/>
      <c r="F100" s="83"/>
      <c r="G100" s="83"/>
      <c r="H100" s="83"/>
      <c r="I100" s="146" t="str">
        <f t="shared" si="6"/>
        <v/>
      </c>
      <c r="J100" s="86"/>
    </row>
    <row r="101" spans="2:10" x14ac:dyDescent="0.3">
      <c r="B101" s="117"/>
      <c r="C101" s="145" t="str">
        <f>IF(D101&lt;&gt;"",$C$11&amp;".4","")</f>
        <v/>
      </c>
      <c r="D101" s="83"/>
      <c r="E101" s="83"/>
      <c r="F101" s="83"/>
      <c r="G101" s="83"/>
      <c r="H101" s="83"/>
      <c r="I101" s="146" t="str">
        <f t="shared" si="6"/>
        <v/>
      </c>
      <c r="J101" s="86"/>
    </row>
    <row r="102" spans="2:10" x14ac:dyDescent="0.3">
      <c r="B102" s="117"/>
      <c r="C102" s="145" t="str">
        <f>IF(D102&lt;&gt;"",$C$11&amp;".5","")</f>
        <v/>
      </c>
      <c r="D102" s="83"/>
      <c r="E102" s="83"/>
      <c r="F102" s="83"/>
      <c r="G102" s="83"/>
      <c r="H102" s="83"/>
      <c r="I102" s="146" t="str">
        <f t="shared" si="6"/>
        <v/>
      </c>
      <c r="J102" s="86"/>
    </row>
    <row r="103" spans="2:10" x14ac:dyDescent="0.3">
      <c r="B103" s="117"/>
      <c r="C103" s="145" t="str">
        <f>IF(D103&lt;&gt;"",$C$11&amp;".6","")</f>
        <v/>
      </c>
      <c r="D103" s="83"/>
      <c r="E103" s="83"/>
      <c r="F103" s="83"/>
      <c r="G103" s="83"/>
      <c r="H103" s="83"/>
      <c r="I103" s="146" t="str">
        <f t="shared" si="6"/>
        <v/>
      </c>
      <c r="J103" s="86"/>
    </row>
    <row r="104" spans="2:10" x14ac:dyDescent="0.3">
      <c r="B104" s="117"/>
      <c r="C104" s="145" t="str">
        <f>IF(D104&lt;&gt;"",$C$11&amp;".7","")</f>
        <v/>
      </c>
      <c r="D104" s="83"/>
      <c r="E104" s="83"/>
      <c r="F104" s="83"/>
      <c r="G104" s="83"/>
      <c r="H104" s="83"/>
      <c r="I104" s="146" t="str">
        <f t="shared" si="6"/>
        <v/>
      </c>
      <c r="J104" s="86"/>
    </row>
    <row r="105" spans="2:10" x14ac:dyDescent="0.3">
      <c r="B105" s="117"/>
      <c r="C105" s="145" t="str">
        <f>IF(D105&lt;&gt;"",$C$11&amp;".8","")</f>
        <v/>
      </c>
      <c r="D105" s="83"/>
      <c r="E105" s="83"/>
      <c r="F105" s="83"/>
      <c r="G105" s="83"/>
      <c r="H105" s="83"/>
      <c r="I105" s="146" t="str">
        <f t="shared" si="6"/>
        <v/>
      </c>
      <c r="J105" s="86"/>
    </row>
    <row r="106" spans="2:10" x14ac:dyDescent="0.3">
      <c r="B106" s="117"/>
      <c r="C106" s="145" t="str">
        <f>IF(D106&lt;&gt;"",$C$11&amp;".9","")</f>
        <v/>
      </c>
      <c r="D106" s="83"/>
      <c r="E106" s="83"/>
      <c r="F106" s="83"/>
      <c r="G106" s="83"/>
      <c r="H106" s="83"/>
      <c r="I106" s="146" t="str">
        <f t="shared" si="6"/>
        <v/>
      </c>
      <c r="J106" s="86"/>
    </row>
    <row r="107" spans="2:10" ht="15" thickBot="1" x14ac:dyDescent="0.35">
      <c r="B107" s="117"/>
      <c r="C107" s="147" t="str">
        <f>IF(D107&lt;&gt;"",$C$11&amp;".10","")</f>
        <v/>
      </c>
      <c r="D107" s="91"/>
      <c r="E107" s="91"/>
      <c r="F107" s="91"/>
      <c r="G107" s="91"/>
      <c r="H107" s="91"/>
      <c r="I107" s="148" t="str">
        <f t="shared" si="6"/>
        <v/>
      </c>
      <c r="J107" s="92"/>
    </row>
    <row r="108" spans="2:10" ht="15" thickBot="1" x14ac:dyDescent="0.35">
      <c r="B108" s="117"/>
      <c r="C108" s="117"/>
      <c r="D108" s="117"/>
      <c r="E108" s="117"/>
      <c r="F108" s="117"/>
      <c r="G108" s="117"/>
      <c r="H108" s="117"/>
      <c r="I108" s="117"/>
      <c r="J108" s="117"/>
    </row>
    <row r="109" spans="2:10" ht="18.600000000000001" thickBot="1" x14ac:dyDescent="0.4">
      <c r="B109" s="117"/>
      <c r="C109" s="235" t="str">
        <f>IF('Etap 2 - testowanie'!$D$12&lt;&gt;"",C12&amp;": "&amp;  'Etap 2 - testowanie'!$D$12,"")</f>
        <v/>
      </c>
      <c r="D109" s="236"/>
      <c r="E109" s="236"/>
      <c r="F109" s="236"/>
      <c r="G109" s="236"/>
      <c r="H109" s="236"/>
      <c r="I109" s="236"/>
      <c r="J109" s="237"/>
    </row>
    <row r="110" spans="2:10" x14ac:dyDescent="0.3">
      <c r="B110" s="117"/>
      <c r="C110" s="134" t="s">
        <v>0</v>
      </c>
      <c r="D110" s="131" t="s">
        <v>14</v>
      </c>
      <c r="E110" s="131" t="s">
        <v>2</v>
      </c>
      <c r="F110" s="131" t="s">
        <v>3</v>
      </c>
      <c r="G110" s="131" t="s">
        <v>13</v>
      </c>
      <c r="H110" s="131" t="s">
        <v>4</v>
      </c>
      <c r="I110" s="131" t="s">
        <v>5</v>
      </c>
      <c r="J110" s="129" t="s">
        <v>6</v>
      </c>
    </row>
    <row r="111" spans="2:10" x14ac:dyDescent="0.3">
      <c r="B111" s="117"/>
      <c r="C111" s="145" t="str">
        <f>IF(D111&lt;&gt;"",$C$12&amp;".1","")</f>
        <v/>
      </c>
      <c r="D111" s="83"/>
      <c r="E111" s="83"/>
      <c r="F111" s="83"/>
      <c r="G111" s="83"/>
      <c r="H111" s="83"/>
      <c r="I111" s="146" t="str">
        <f>IF(G111&lt;&gt;"",G111*H111,"")</f>
        <v/>
      </c>
      <c r="J111" s="86"/>
    </row>
    <row r="112" spans="2:10" x14ac:dyDescent="0.3">
      <c r="B112" s="117"/>
      <c r="C112" s="145" t="str">
        <f>IF(D112&lt;&gt;"",$C$12&amp;".2","")</f>
        <v/>
      </c>
      <c r="D112" s="83"/>
      <c r="E112" s="83"/>
      <c r="F112" s="83"/>
      <c r="G112" s="83"/>
      <c r="H112" s="83"/>
      <c r="I112" s="146" t="str">
        <f t="shared" ref="I112:I120" si="7">IF(G112&lt;&gt;"",G112*H112,"")</f>
        <v/>
      </c>
      <c r="J112" s="86"/>
    </row>
    <row r="113" spans="2:10" x14ac:dyDescent="0.3">
      <c r="B113" s="117"/>
      <c r="C113" s="145" t="str">
        <f>IF(D113&lt;&gt;"",$C$12&amp;".3","")</f>
        <v/>
      </c>
      <c r="D113" s="83"/>
      <c r="E113" s="83"/>
      <c r="F113" s="83"/>
      <c r="G113" s="83"/>
      <c r="H113" s="83"/>
      <c r="I113" s="146" t="str">
        <f t="shared" si="7"/>
        <v/>
      </c>
      <c r="J113" s="86"/>
    </row>
    <row r="114" spans="2:10" x14ac:dyDescent="0.3">
      <c r="B114" s="117"/>
      <c r="C114" s="145" t="str">
        <f>IF(D114&lt;&gt;"",$C$12&amp;".4","")</f>
        <v/>
      </c>
      <c r="D114" s="83"/>
      <c r="E114" s="83"/>
      <c r="F114" s="83"/>
      <c r="G114" s="83"/>
      <c r="H114" s="83"/>
      <c r="I114" s="146" t="str">
        <f t="shared" si="7"/>
        <v/>
      </c>
      <c r="J114" s="86"/>
    </row>
    <row r="115" spans="2:10" x14ac:dyDescent="0.3">
      <c r="B115" s="117"/>
      <c r="C115" s="145" t="str">
        <f>IF(D115&lt;&gt;"",$C$12&amp;".5","")</f>
        <v/>
      </c>
      <c r="D115" s="83"/>
      <c r="E115" s="83"/>
      <c r="F115" s="83"/>
      <c r="G115" s="83"/>
      <c r="H115" s="83"/>
      <c r="I115" s="146" t="str">
        <f t="shared" si="7"/>
        <v/>
      </c>
      <c r="J115" s="86"/>
    </row>
    <row r="116" spans="2:10" x14ac:dyDescent="0.3">
      <c r="B116" s="117"/>
      <c r="C116" s="145" t="str">
        <f>IF(D116&lt;&gt;"",$C$12&amp;".6","")</f>
        <v/>
      </c>
      <c r="D116" s="83"/>
      <c r="E116" s="83"/>
      <c r="F116" s="83"/>
      <c r="G116" s="83"/>
      <c r="H116" s="83"/>
      <c r="I116" s="146" t="str">
        <f t="shared" si="7"/>
        <v/>
      </c>
      <c r="J116" s="86"/>
    </row>
    <row r="117" spans="2:10" x14ac:dyDescent="0.3">
      <c r="B117" s="117"/>
      <c r="C117" s="145" t="str">
        <f>IF(D117&lt;&gt;"",$C$12&amp;".7","")</f>
        <v/>
      </c>
      <c r="D117" s="83"/>
      <c r="E117" s="83"/>
      <c r="F117" s="83"/>
      <c r="G117" s="83"/>
      <c r="H117" s="83"/>
      <c r="I117" s="146" t="str">
        <f t="shared" si="7"/>
        <v/>
      </c>
      <c r="J117" s="86"/>
    </row>
    <row r="118" spans="2:10" x14ac:dyDescent="0.3">
      <c r="B118" s="117"/>
      <c r="C118" s="145" t="str">
        <f>IF(D118&lt;&gt;"",$C$12&amp;".8","")</f>
        <v/>
      </c>
      <c r="D118" s="83"/>
      <c r="E118" s="83"/>
      <c r="F118" s="83"/>
      <c r="G118" s="83"/>
      <c r="H118" s="83"/>
      <c r="I118" s="146" t="str">
        <f t="shared" si="7"/>
        <v/>
      </c>
      <c r="J118" s="86"/>
    </row>
    <row r="119" spans="2:10" x14ac:dyDescent="0.3">
      <c r="B119" s="117"/>
      <c r="C119" s="145" t="str">
        <f>IF(D119&lt;&gt;"",$C$12&amp;".9","")</f>
        <v/>
      </c>
      <c r="D119" s="83"/>
      <c r="E119" s="83"/>
      <c r="F119" s="83"/>
      <c r="G119" s="83"/>
      <c r="H119" s="83"/>
      <c r="I119" s="146" t="str">
        <f t="shared" si="7"/>
        <v/>
      </c>
      <c r="J119" s="86"/>
    </row>
    <row r="120" spans="2:10" ht="15" thickBot="1" x14ac:dyDescent="0.35">
      <c r="B120" s="117"/>
      <c r="C120" s="147" t="str">
        <f>IF(D120&lt;&gt;"",$C$12&amp;".10","")</f>
        <v/>
      </c>
      <c r="D120" s="91"/>
      <c r="E120" s="91"/>
      <c r="F120" s="91"/>
      <c r="G120" s="91"/>
      <c r="H120" s="91"/>
      <c r="I120" s="148" t="str">
        <f t="shared" si="7"/>
        <v/>
      </c>
      <c r="J120" s="92"/>
    </row>
    <row r="121" spans="2:10" ht="15" thickBot="1" x14ac:dyDescent="0.35">
      <c r="B121" s="117"/>
      <c r="C121" s="117"/>
      <c r="D121" s="117"/>
      <c r="E121" s="117"/>
      <c r="F121" s="117"/>
      <c r="G121" s="117"/>
      <c r="H121" s="117"/>
      <c r="I121" s="117"/>
      <c r="J121" s="117"/>
    </row>
    <row r="122" spans="2:10" ht="18.600000000000001" thickBot="1" x14ac:dyDescent="0.4">
      <c r="B122" s="117"/>
      <c r="C122" s="235" t="str">
        <f>IF('Etap 2 - testowanie'!$D$13&lt;&gt;"",C13&amp;": "&amp;  'Etap 2 - testowanie'!$D$13,"")</f>
        <v/>
      </c>
      <c r="D122" s="236"/>
      <c r="E122" s="236"/>
      <c r="F122" s="236"/>
      <c r="G122" s="236"/>
      <c r="H122" s="236"/>
      <c r="I122" s="236"/>
      <c r="J122" s="237"/>
    </row>
    <row r="123" spans="2:10" x14ac:dyDescent="0.3">
      <c r="B123" s="117"/>
      <c r="C123" s="134" t="s">
        <v>0</v>
      </c>
      <c r="D123" s="131" t="s">
        <v>14</v>
      </c>
      <c r="E123" s="131" t="s">
        <v>2</v>
      </c>
      <c r="F123" s="131" t="s">
        <v>3</v>
      </c>
      <c r="G123" s="131" t="s">
        <v>13</v>
      </c>
      <c r="H123" s="131" t="s">
        <v>4</v>
      </c>
      <c r="I123" s="131" t="s">
        <v>5</v>
      </c>
      <c r="J123" s="129" t="s">
        <v>6</v>
      </c>
    </row>
    <row r="124" spans="2:10" x14ac:dyDescent="0.3">
      <c r="B124" s="117"/>
      <c r="C124" s="145" t="str">
        <f>IF(D124&lt;&gt;"",$C$13&amp;".1","")</f>
        <v/>
      </c>
      <c r="D124" s="83"/>
      <c r="E124" s="83"/>
      <c r="F124" s="83"/>
      <c r="G124" s="83"/>
      <c r="H124" s="83"/>
      <c r="I124" s="146" t="str">
        <f>IF(G124&lt;&gt;"",G124*H124,"")</f>
        <v/>
      </c>
      <c r="J124" s="86"/>
    </row>
    <row r="125" spans="2:10" x14ac:dyDescent="0.3">
      <c r="B125" s="117"/>
      <c r="C125" s="145" t="str">
        <f>IF(D125&lt;&gt;"",$C$13&amp;".2","")</f>
        <v/>
      </c>
      <c r="D125" s="83"/>
      <c r="E125" s="83"/>
      <c r="F125" s="83"/>
      <c r="G125" s="83"/>
      <c r="H125" s="83"/>
      <c r="I125" s="146" t="str">
        <f t="shared" ref="I125:I133" si="8">IF(G125&lt;&gt;"",G125*H125,"")</f>
        <v/>
      </c>
      <c r="J125" s="86"/>
    </row>
    <row r="126" spans="2:10" x14ac:dyDescent="0.3">
      <c r="B126" s="117"/>
      <c r="C126" s="145" t="str">
        <f>IF(D126&lt;&gt;"",$C$13&amp;".3","")</f>
        <v/>
      </c>
      <c r="D126" s="83"/>
      <c r="E126" s="83"/>
      <c r="F126" s="83"/>
      <c r="G126" s="83"/>
      <c r="H126" s="83"/>
      <c r="I126" s="146" t="str">
        <f t="shared" si="8"/>
        <v/>
      </c>
      <c r="J126" s="86"/>
    </row>
    <row r="127" spans="2:10" x14ac:dyDescent="0.3">
      <c r="B127" s="117"/>
      <c r="C127" s="145" t="str">
        <f>IF(D127&lt;&gt;"",$C$13&amp;".4","")</f>
        <v/>
      </c>
      <c r="D127" s="83"/>
      <c r="E127" s="83"/>
      <c r="F127" s="83"/>
      <c r="G127" s="83"/>
      <c r="H127" s="83"/>
      <c r="I127" s="146" t="str">
        <f t="shared" si="8"/>
        <v/>
      </c>
      <c r="J127" s="86"/>
    </row>
    <row r="128" spans="2:10" x14ac:dyDescent="0.3">
      <c r="B128" s="117"/>
      <c r="C128" s="145" t="str">
        <f>IF(D128&lt;&gt;"",$C$13&amp;".5","")</f>
        <v/>
      </c>
      <c r="D128" s="83"/>
      <c r="E128" s="83"/>
      <c r="F128" s="83"/>
      <c r="G128" s="83"/>
      <c r="H128" s="83"/>
      <c r="I128" s="146" t="str">
        <f t="shared" si="8"/>
        <v/>
      </c>
      <c r="J128" s="86"/>
    </row>
    <row r="129" spans="2:10" x14ac:dyDescent="0.3">
      <c r="B129" s="117"/>
      <c r="C129" s="145" t="str">
        <f>IF(D129&lt;&gt;"",$C$13&amp;".6","")</f>
        <v/>
      </c>
      <c r="D129" s="83"/>
      <c r="E129" s="83"/>
      <c r="F129" s="83"/>
      <c r="G129" s="83"/>
      <c r="H129" s="83"/>
      <c r="I129" s="146" t="str">
        <f t="shared" si="8"/>
        <v/>
      </c>
      <c r="J129" s="86"/>
    </row>
    <row r="130" spans="2:10" x14ac:dyDescent="0.3">
      <c r="B130" s="117"/>
      <c r="C130" s="145" t="str">
        <f>IF(D130&lt;&gt;"",$C$13&amp;".7","")</f>
        <v/>
      </c>
      <c r="D130" s="83"/>
      <c r="E130" s="83"/>
      <c r="F130" s="83"/>
      <c r="G130" s="83"/>
      <c r="H130" s="83"/>
      <c r="I130" s="146" t="str">
        <f t="shared" si="8"/>
        <v/>
      </c>
      <c r="J130" s="86"/>
    </row>
    <row r="131" spans="2:10" x14ac:dyDescent="0.3">
      <c r="B131" s="117"/>
      <c r="C131" s="145" t="str">
        <f>IF(D131&lt;&gt;"",$C$13&amp;".8","")</f>
        <v/>
      </c>
      <c r="D131" s="83"/>
      <c r="E131" s="83"/>
      <c r="F131" s="83"/>
      <c r="G131" s="83"/>
      <c r="H131" s="83"/>
      <c r="I131" s="146" t="str">
        <f t="shared" si="8"/>
        <v/>
      </c>
      <c r="J131" s="86"/>
    </row>
    <row r="132" spans="2:10" x14ac:dyDescent="0.3">
      <c r="B132" s="117"/>
      <c r="C132" s="145" t="str">
        <f>IF(D132&lt;&gt;"",$C$13&amp;".9","")</f>
        <v/>
      </c>
      <c r="D132" s="83"/>
      <c r="E132" s="83"/>
      <c r="F132" s="83"/>
      <c r="G132" s="83"/>
      <c r="H132" s="83"/>
      <c r="I132" s="146" t="str">
        <f t="shared" si="8"/>
        <v/>
      </c>
      <c r="J132" s="86"/>
    </row>
    <row r="133" spans="2:10" ht="15" thickBot="1" x14ac:dyDescent="0.35">
      <c r="B133" s="117"/>
      <c r="C133" s="147" t="str">
        <f>IF(D133&lt;&gt;"",$C$13&amp;".10","")</f>
        <v/>
      </c>
      <c r="D133" s="91"/>
      <c r="E133" s="91"/>
      <c r="F133" s="91"/>
      <c r="G133" s="91"/>
      <c r="H133" s="91"/>
      <c r="I133" s="148" t="str">
        <f t="shared" si="8"/>
        <v/>
      </c>
      <c r="J133" s="92"/>
    </row>
    <row r="134" spans="2:10" ht="15" thickBot="1" x14ac:dyDescent="0.35">
      <c r="B134" s="117"/>
      <c r="C134" s="117"/>
      <c r="D134" s="117"/>
      <c r="E134" s="117"/>
      <c r="F134" s="117"/>
      <c r="G134" s="117"/>
      <c r="H134" s="117"/>
      <c r="I134" s="117"/>
      <c r="J134" s="117"/>
    </row>
    <row r="135" spans="2:10" ht="18.600000000000001" thickBot="1" x14ac:dyDescent="0.4">
      <c r="B135" s="117"/>
      <c r="C135" s="235" t="str">
        <f>IF('Etap 2 - testowanie'!$D$14&lt;&gt;"",C14&amp;": "&amp;  'Etap 2 - testowanie'!$D$14,"")</f>
        <v/>
      </c>
      <c r="D135" s="236"/>
      <c r="E135" s="236"/>
      <c r="F135" s="236"/>
      <c r="G135" s="236"/>
      <c r="H135" s="236"/>
      <c r="I135" s="236"/>
      <c r="J135" s="237"/>
    </row>
    <row r="136" spans="2:10" x14ac:dyDescent="0.3">
      <c r="B136" s="117"/>
      <c r="C136" s="134" t="s">
        <v>0</v>
      </c>
      <c r="D136" s="131" t="s">
        <v>14</v>
      </c>
      <c r="E136" s="131" t="s">
        <v>2</v>
      </c>
      <c r="F136" s="131" t="s">
        <v>3</v>
      </c>
      <c r="G136" s="131" t="s">
        <v>13</v>
      </c>
      <c r="H136" s="131" t="s">
        <v>4</v>
      </c>
      <c r="I136" s="131" t="s">
        <v>5</v>
      </c>
      <c r="J136" s="129" t="s">
        <v>6</v>
      </c>
    </row>
    <row r="137" spans="2:10" x14ac:dyDescent="0.3">
      <c r="B137" s="117"/>
      <c r="C137" s="145" t="str">
        <f>IF(D137&lt;&gt;"",$C$14&amp;".1","")</f>
        <v/>
      </c>
      <c r="D137" s="83"/>
      <c r="E137" s="83"/>
      <c r="F137" s="83"/>
      <c r="G137" s="83"/>
      <c r="H137" s="83"/>
      <c r="I137" s="146" t="str">
        <f>IF(G137&lt;&gt;"",G137*H137,"")</f>
        <v/>
      </c>
      <c r="J137" s="86"/>
    </row>
    <row r="138" spans="2:10" x14ac:dyDescent="0.3">
      <c r="B138" s="117"/>
      <c r="C138" s="145" t="str">
        <f>IF(D138&lt;&gt;"",$C$14&amp;".2","")</f>
        <v/>
      </c>
      <c r="D138" s="83"/>
      <c r="E138" s="83"/>
      <c r="F138" s="83"/>
      <c r="G138" s="83"/>
      <c r="H138" s="83"/>
      <c r="I138" s="146" t="str">
        <f t="shared" ref="I138:I146" si="9">IF(G138&lt;&gt;"",G138*H138,"")</f>
        <v/>
      </c>
      <c r="J138" s="86"/>
    </row>
    <row r="139" spans="2:10" x14ac:dyDescent="0.3">
      <c r="B139" s="117"/>
      <c r="C139" s="145" t="str">
        <f>IF(D139&lt;&gt;"",$C$14&amp;".3","")</f>
        <v/>
      </c>
      <c r="D139" s="83"/>
      <c r="E139" s="83"/>
      <c r="F139" s="83"/>
      <c r="G139" s="83"/>
      <c r="H139" s="83"/>
      <c r="I139" s="146" t="str">
        <f t="shared" si="9"/>
        <v/>
      </c>
      <c r="J139" s="86"/>
    </row>
    <row r="140" spans="2:10" x14ac:dyDescent="0.3">
      <c r="B140" s="117"/>
      <c r="C140" s="145" t="str">
        <f>IF(D140&lt;&gt;"",$C$14&amp;".4","")</f>
        <v/>
      </c>
      <c r="D140" s="83"/>
      <c r="E140" s="83"/>
      <c r="F140" s="83"/>
      <c r="G140" s="83"/>
      <c r="H140" s="83"/>
      <c r="I140" s="146" t="str">
        <f t="shared" si="9"/>
        <v/>
      </c>
      <c r="J140" s="86"/>
    </row>
    <row r="141" spans="2:10" x14ac:dyDescent="0.3">
      <c r="B141" s="117"/>
      <c r="C141" s="145" t="str">
        <f>IF(D141&lt;&gt;"",$C$14&amp;".5","")</f>
        <v/>
      </c>
      <c r="D141" s="83"/>
      <c r="E141" s="83"/>
      <c r="F141" s="83"/>
      <c r="G141" s="83"/>
      <c r="H141" s="83"/>
      <c r="I141" s="146" t="str">
        <f t="shared" si="9"/>
        <v/>
      </c>
      <c r="J141" s="86"/>
    </row>
    <row r="142" spans="2:10" x14ac:dyDescent="0.3">
      <c r="B142" s="117"/>
      <c r="C142" s="145" t="str">
        <f>IF(D142&lt;&gt;"",$C$14&amp;".6","")</f>
        <v/>
      </c>
      <c r="D142" s="83"/>
      <c r="E142" s="83"/>
      <c r="F142" s="83"/>
      <c r="G142" s="83"/>
      <c r="H142" s="83"/>
      <c r="I142" s="146" t="str">
        <f t="shared" si="9"/>
        <v/>
      </c>
      <c r="J142" s="86"/>
    </row>
    <row r="143" spans="2:10" x14ac:dyDescent="0.3">
      <c r="B143" s="117"/>
      <c r="C143" s="145" t="str">
        <f>IF(D143&lt;&gt;"",$C$14&amp;".7","")</f>
        <v/>
      </c>
      <c r="D143" s="83"/>
      <c r="E143" s="83"/>
      <c r="F143" s="83"/>
      <c r="G143" s="83"/>
      <c r="H143" s="83"/>
      <c r="I143" s="146" t="str">
        <f t="shared" si="9"/>
        <v/>
      </c>
      <c r="J143" s="86"/>
    </row>
    <row r="144" spans="2:10" x14ac:dyDescent="0.3">
      <c r="B144" s="117"/>
      <c r="C144" s="145" t="str">
        <f>IF(D144&lt;&gt;"",$C$14&amp;".8","")</f>
        <v/>
      </c>
      <c r="D144" s="83"/>
      <c r="E144" s="83"/>
      <c r="F144" s="83"/>
      <c r="G144" s="83"/>
      <c r="H144" s="83"/>
      <c r="I144" s="146" t="str">
        <f t="shared" si="9"/>
        <v/>
      </c>
      <c r="J144" s="86"/>
    </row>
    <row r="145" spans="2:10" x14ac:dyDescent="0.3">
      <c r="B145" s="117"/>
      <c r="C145" s="145" t="str">
        <f>IF(D145&lt;&gt;"",$C$14&amp;".9","")</f>
        <v/>
      </c>
      <c r="D145" s="83"/>
      <c r="E145" s="83"/>
      <c r="F145" s="83"/>
      <c r="G145" s="83"/>
      <c r="H145" s="83"/>
      <c r="I145" s="146" t="str">
        <f t="shared" si="9"/>
        <v/>
      </c>
      <c r="J145" s="86"/>
    </row>
    <row r="146" spans="2:10" ht="15" thickBot="1" x14ac:dyDescent="0.35">
      <c r="B146" s="117"/>
      <c r="C146" s="147" t="str">
        <f>IF(D146&lt;&gt;"",$C$14&amp;".10","")</f>
        <v/>
      </c>
      <c r="D146" s="91"/>
      <c r="E146" s="91"/>
      <c r="F146" s="91"/>
      <c r="G146" s="91"/>
      <c r="H146" s="91"/>
      <c r="I146" s="148" t="str">
        <f t="shared" si="9"/>
        <v/>
      </c>
      <c r="J146" s="92"/>
    </row>
  </sheetData>
  <sheetProtection algorithmName="SHA-512" hashValue="VsXlFBqo3ZTxaKbYJJ8Mb+IbxaG1qNh1IQsP+zLUKLxss1VBVXptfCvCKSa44k3xk8nSqJhiNoU9TRCTtaGK5g==" saltValue="+o53YJI5ttoWgub3uHFhYg==" spinCount="100000" sheet="1" objects="1" scenarios="1" selectLockedCells="1"/>
  <mergeCells count="12">
    <mergeCell ref="C3:G3"/>
    <mergeCell ref="C44:J44"/>
    <mergeCell ref="C57:J57"/>
    <mergeCell ref="C31:J31"/>
    <mergeCell ref="C16:J16"/>
    <mergeCell ref="C18:J18"/>
    <mergeCell ref="C109:J109"/>
    <mergeCell ref="C122:J122"/>
    <mergeCell ref="C135:J135"/>
    <mergeCell ref="C70:J70"/>
    <mergeCell ref="C83:J83"/>
    <mergeCell ref="C96:J96"/>
  </mergeCells>
  <conditionalFormatting sqref="C18:J19 C24:J29 C20:C23 I20:I23">
    <cfRule type="expression" dxfId="24" priority="11">
      <formula>$D$5=""</formula>
    </cfRule>
  </conditionalFormatting>
  <conditionalFormatting sqref="C31:J42">
    <cfRule type="expression" dxfId="23" priority="10">
      <formula>$D$6=""</formula>
    </cfRule>
  </conditionalFormatting>
  <conditionalFormatting sqref="C44:J55">
    <cfRule type="expression" dxfId="22" priority="9">
      <formula>$D$7=""</formula>
    </cfRule>
  </conditionalFormatting>
  <conditionalFormatting sqref="C57:J68">
    <cfRule type="expression" dxfId="21" priority="8">
      <formula>$D$8=""</formula>
    </cfRule>
  </conditionalFormatting>
  <conditionalFormatting sqref="C70:J81">
    <cfRule type="expression" dxfId="20" priority="7">
      <formula>$D$9=""</formula>
    </cfRule>
  </conditionalFormatting>
  <conditionalFormatting sqref="C83:J94">
    <cfRule type="expression" dxfId="19" priority="6">
      <formula>$D$10=""</formula>
    </cfRule>
  </conditionalFormatting>
  <conditionalFormatting sqref="C96:J107">
    <cfRule type="expression" dxfId="18" priority="5">
      <formula>$D$11=""</formula>
    </cfRule>
  </conditionalFormatting>
  <conditionalFormatting sqref="C109:J120">
    <cfRule type="expression" dxfId="17" priority="4">
      <formula>$D$12=""</formula>
    </cfRule>
  </conditionalFormatting>
  <conditionalFormatting sqref="C122:J133">
    <cfRule type="expression" dxfId="16" priority="3">
      <formula>$D$13=""</formula>
    </cfRule>
  </conditionalFormatting>
  <conditionalFormatting sqref="C135:J146">
    <cfRule type="expression" dxfId="15" priority="2">
      <formula>$D$14=""</formula>
    </cfRule>
  </conditionalFormatting>
  <conditionalFormatting sqref="E20:H23">
    <cfRule type="expression" dxfId="14" priority="1">
      <formula>$D$5=""</formula>
    </cfRule>
  </conditionalFormatting>
  <dataValidations count="2">
    <dataValidation type="decimal" operator="greaterThanOrEqual" allowBlank="1" showInputMessage="1" showErrorMessage="1" errorTitle="Błąd" error="Podaj liczbę" sqref="G20:H29 G124:H133 G33:H42 G46:H55 G59:H68 G72:H81 G85:H94 G98:H107 G111:H120 G137:H146" xr:uid="{D716C037-E4BE-403D-97B3-D38FF2398212}">
      <formula1>0</formula1>
    </dataValidation>
    <dataValidation type="date" allowBlank="1" showInputMessage="1" showErrorMessage="1" errorTitle="UWAGA" error="Podaj datę w formacie DD.MM.RRRR" promptTitle="UWAGA" prompt="Podaj datę w formacie DD.MM.RRRR" sqref="F5:G14" xr:uid="{AF65FA3F-4479-4661-AB14-84BC96D4E7AB}">
      <formula1>44652</formula1>
      <formula2>44926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wynagrodzenia_x000a_usługi obce_x000a_materiały" xr:uid="{DFEECDA9-8BB7-4E8B-A514-FF7C0DE78E30}">
          <x14:formula1>
            <xm:f>Robocze!$B$3:$B$6</xm:f>
          </x14:formula1>
          <xm:sqref>E20:E29 E124:E133 E33:E42 E46:E55 E59:E68 E72:E81 E85:E94 E98:E107 E111:E120 E137:E146</xm:sqref>
        </x14:dataValidation>
        <x14:dataValidation type="list" allowBlank="1" showInputMessage="1" showErrorMessage="1" errorTitle="Błąd" error="Nieznana kategoria wydatku" promptTitle="Wybierz z listy:" prompt="n/d_x000a_godzina_x000a_szt." xr:uid="{01C696F4-ED08-4F04-954C-C97C88938AEA}">
          <x14:formula1>
            <xm:f>Robocze!$C$3:$C$9</xm:f>
          </x14:formula1>
          <xm:sqref>F20:F29 F124:F133 F33:F42 F46:F55 F59:F68 F72:F81 F85:F94 F98:F107 F111:F120 F137:F146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D5F2D-00D3-4A86-9475-FF4961559A75}">
  <sheetPr>
    <tabColor theme="5" tint="0.39997558519241921"/>
  </sheetPr>
  <dimension ref="B3:D33"/>
  <sheetViews>
    <sheetView topLeftCell="A10" zoomScale="85" zoomScaleNormal="85" workbookViewId="0">
      <selection activeCell="D15" sqref="D15"/>
    </sheetView>
  </sheetViews>
  <sheetFormatPr defaultColWidth="30.88671875" defaultRowHeight="14.4" x14ac:dyDescent="0.3"/>
  <cols>
    <col min="1" max="1" width="5.5546875" style="123" customWidth="1"/>
    <col min="2" max="2" width="52" style="123" customWidth="1"/>
    <col min="3" max="3" width="44.33203125" style="123" customWidth="1"/>
    <col min="4" max="4" width="47.6640625" style="123" customWidth="1"/>
    <col min="5" max="16384" width="30.88671875" style="123"/>
  </cols>
  <sheetData>
    <row r="3" spans="2:4" ht="15" thickBot="1" x14ac:dyDescent="0.35"/>
    <row r="4" spans="2:4" ht="18" x14ac:dyDescent="0.35">
      <c r="B4" s="244" t="s">
        <v>153</v>
      </c>
      <c r="C4" s="245"/>
      <c r="D4" s="246"/>
    </row>
    <row r="5" spans="2:4" x14ac:dyDescent="0.3">
      <c r="B5" s="132" t="s">
        <v>154</v>
      </c>
      <c r="C5" s="130" t="s">
        <v>151</v>
      </c>
      <c r="D5" s="133" t="s">
        <v>142</v>
      </c>
    </row>
    <row r="6" spans="2:4" x14ac:dyDescent="0.3">
      <c r="B6" s="175"/>
      <c r="C6" s="176"/>
      <c r="D6" s="177"/>
    </row>
    <row r="7" spans="2:4" x14ac:dyDescent="0.3">
      <c r="B7" s="178"/>
      <c r="C7" s="173"/>
      <c r="D7" s="177"/>
    </row>
    <row r="8" spans="2:4" x14ac:dyDescent="0.3">
      <c r="B8" s="93"/>
      <c r="C8" s="83"/>
      <c r="D8" s="86"/>
    </row>
    <row r="9" spans="2:4" x14ac:dyDescent="0.3">
      <c r="B9" s="93"/>
      <c r="C9" s="83"/>
      <c r="D9" s="86"/>
    </row>
    <row r="10" spans="2:4" x14ac:dyDescent="0.3">
      <c r="B10" s="93"/>
      <c r="C10" s="83"/>
      <c r="D10" s="86"/>
    </row>
    <row r="11" spans="2:4" x14ac:dyDescent="0.3">
      <c r="B11" s="93"/>
      <c r="C11" s="83"/>
      <c r="D11" s="86"/>
    </row>
    <row r="12" spans="2:4" x14ac:dyDescent="0.3">
      <c r="B12" s="93"/>
      <c r="C12" s="83"/>
      <c r="D12" s="86"/>
    </row>
    <row r="13" spans="2:4" x14ac:dyDescent="0.3">
      <c r="B13" s="93"/>
      <c r="C13" s="83"/>
      <c r="D13" s="86"/>
    </row>
    <row r="14" spans="2:4" x14ac:dyDescent="0.3">
      <c r="B14" s="93"/>
      <c r="C14" s="83"/>
      <c r="D14" s="86"/>
    </row>
    <row r="15" spans="2:4" x14ac:dyDescent="0.3">
      <c r="B15" s="93"/>
      <c r="C15" s="83"/>
      <c r="D15" s="86"/>
    </row>
    <row r="16" spans="2:4" x14ac:dyDescent="0.3">
      <c r="B16" s="93"/>
      <c r="C16" s="83"/>
      <c r="D16" s="86"/>
    </row>
    <row r="17" spans="2:4" ht="15" thickBot="1" x14ac:dyDescent="0.35"/>
    <row r="18" spans="2:4" x14ac:dyDescent="0.3">
      <c r="B18" s="134" t="s">
        <v>155</v>
      </c>
      <c r="C18" s="131" t="s">
        <v>151</v>
      </c>
      <c r="D18" s="129" t="s">
        <v>142</v>
      </c>
    </row>
    <row r="19" spans="2:4" x14ac:dyDescent="0.3">
      <c r="B19" s="179"/>
      <c r="C19" s="180"/>
      <c r="D19" s="174"/>
    </row>
    <row r="20" spans="2:4" x14ac:dyDescent="0.3">
      <c r="B20" s="179"/>
      <c r="C20" s="180"/>
      <c r="D20" s="174"/>
    </row>
    <row r="21" spans="2:4" x14ac:dyDescent="0.3">
      <c r="B21" s="93"/>
      <c r="C21" s="83"/>
      <c r="D21" s="86"/>
    </row>
    <row r="22" spans="2:4" x14ac:dyDescent="0.3">
      <c r="B22" s="93"/>
      <c r="C22" s="83"/>
      <c r="D22" s="86"/>
    </row>
    <row r="23" spans="2:4" x14ac:dyDescent="0.3">
      <c r="B23" s="93"/>
      <c r="C23" s="83"/>
      <c r="D23" s="86"/>
    </row>
    <row r="24" spans="2:4" x14ac:dyDescent="0.3">
      <c r="B24" s="93"/>
      <c r="C24" s="83"/>
      <c r="D24" s="86"/>
    </row>
    <row r="25" spans="2:4" x14ac:dyDescent="0.3">
      <c r="B25" s="93"/>
      <c r="C25" s="83"/>
      <c r="D25" s="86"/>
    </row>
    <row r="26" spans="2:4" ht="15" thickBot="1" x14ac:dyDescent="0.35">
      <c r="B26" s="109"/>
      <c r="C26" s="91"/>
      <c r="D26" s="92"/>
    </row>
    <row r="27" spans="2:4" ht="15" thickBot="1" x14ac:dyDescent="0.35"/>
    <row r="28" spans="2:4" ht="18" x14ac:dyDescent="0.35">
      <c r="B28" s="244" t="s">
        <v>152</v>
      </c>
      <c r="C28" s="245"/>
      <c r="D28" s="246"/>
    </row>
    <row r="29" spans="2:4" x14ac:dyDescent="0.3">
      <c r="B29" s="132" t="s">
        <v>144</v>
      </c>
      <c r="C29" s="130" t="s">
        <v>184</v>
      </c>
      <c r="D29" s="133" t="s">
        <v>146</v>
      </c>
    </row>
    <row r="30" spans="2:4" x14ac:dyDescent="0.3">
      <c r="B30" s="125"/>
      <c r="C30" s="126"/>
      <c r="D30" s="94"/>
    </row>
    <row r="31" spans="2:4" x14ac:dyDescent="0.3">
      <c r="B31" s="125"/>
      <c r="C31" s="126"/>
      <c r="D31" s="94"/>
    </row>
    <row r="32" spans="2:4" x14ac:dyDescent="0.3">
      <c r="B32" s="125"/>
      <c r="C32" s="126"/>
      <c r="D32" s="94"/>
    </row>
    <row r="33" spans="2:4" ht="15" thickBot="1" x14ac:dyDescent="0.35">
      <c r="B33" s="127"/>
      <c r="C33" s="128"/>
      <c r="D33" s="95"/>
    </row>
  </sheetData>
  <sheetProtection algorithmName="SHA-512" hashValue="Ej/Ux7MwPiqgIP660Tz4Gd/jzFqAnEAOlDlshtkVELL7eicqmS8V8PtlXQAN4ZYu+OY0597ffT6yuLZhwnPt+w==" saltValue="XyE9hKESDjDQARXrSAZS9A==" spinCount="100000" sheet="1" objects="1" scenarios="1" selectLockedCells="1"/>
  <mergeCells count="2">
    <mergeCell ref="B28:D28"/>
    <mergeCell ref="B4:D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Uwaga" error="Wybierz z listy" promptTitle="Uwaga" prompt="Wybierz z listy" xr:uid="{6CD66E94-78B0-416C-A6CC-7E1F41D9D1C7}">
          <x14:formula1>
            <xm:f>Robocze!$D$3:$D$5</xm:f>
          </x14:formula1>
          <xm:sqref>C30:C33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D366-D90F-402E-89AD-86A630D2BC6D}">
  <sheetPr>
    <tabColor theme="4" tint="0.39997558519241921"/>
  </sheetPr>
  <dimension ref="B2:I146"/>
  <sheetViews>
    <sheetView topLeftCell="A4" zoomScale="80" zoomScaleNormal="80" workbookViewId="0">
      <selection activeCell="F5" sqref="F5:F6"/>
    </sheetView>
  </sheetViews>
  <sheetFormatPr defaultColWidth="30.88671875" defaultRowHeight="14.4" x14ac:dyDescent="0.3"/>
  <cols>
    <col min="1" max="1" width="5.5546875" style="123" customWidth="1"/>
    <col min="2" max="2" width="12.5546875" style="123" customWidth="1"/>
    <col min="3" max="3" width="62.109375" style="123" customWidth="1"/>
    <col min="4" max="4" width="19.6640625" style="123" customWidth="1"/>
    <col min="5" max="5" width="21.109375" style="123" customWidth="1"/>
    <col min="6" max="6" width="22.6640625" style="123" customWidth="1"/>
    <col min="7" max="7" width="18.5546875" style="123" customWidth="1"/>
    <col min="8" max="8" width="17.6640625" style="123" bestFit="1" customWidth="1"/>
    <col min="9" max="9" width="71.5546875" style="123" customWidth="1"/>
    <col min="10" max="16384" width="30.88671875" style="123"/>
  </cols>
  <sheetData>
    <row r="2" spans="2:9" ht="15" thickBot="1" x14ac:dyDescent="0.35"/>
    <row r="3" spans="2:9" x14ac:dyDescent="0.3">
      <c r="B3" s="247" t="s">
        <v>181</v>
      </c>
      <c r="C3" s="248"/>
      <c r="D3" s="248"/>
      <c r="E3" s="248"/>
      <c r="F3" s="249"/>
    </row>
    <row r="4" spans="2:9" x14ac:dyDescent="0.3">
      <c r="B4" s="150" t="s">
        <v>21</v>
      </c>
      <c r="C4" s="135" t="s">
        <v>1</v>
      </c>
      <c r="D4" s="135" t="s">
        <v>15</v>
      </c>
      <c r="E4" s="135" t="s">
        <v>31</v>
      </c>
      <c r="F4" s="144" t="s">
        <v>32</v>
      </c>
    </row>
    <row r="5" spans="2:9" x14ac:dyDescent="0.3">
      <c r="B5" s="118" t="str">
        <f>IF(C5&lt;&gt;"","3."&amp;1,"")</f>
        <v/>
      </c>
      <c r="C5" s="83"/>
      <c r="D5" s="114" t="str">
        <f>IF(C5&lt;&gt;"",SUM('Etap 3 - prototyp'!H20:H29),"")</f>
        <v/>
      </c>
      <c r="E5" s="79"/>
      <c r="F5" s="80"/>
    </row>
    <row r="6" spans="2:9" x14ac:dyDescent="0.3">
      <c r="B6" s="118" t="str">
        <f>IF(C6&lt;&gt;"","3."&amp;2,"")</f>
        <v/>
      </c>
      <c r="C6" s="83"/>
      <c r="D6" s="114" t="str">
        <f>IF(C6&lt;&gt;"",SUM('Etap 3 - prototyp'!H33:H42),"")</f>
        <v/>
      </c>
      <c r="E6" s="79"/>
      <c r="F6" s="80"/>
    </row>
    <row r="7" spans="2:9" x14ac:dyDescent="0.3">
      <c r="B7" s="118" t="str">
        <f>IF(C7&lt;&gt;"","3."&amp;3,"")</f>
        <v/>
      </c>
      <c r="C7" s="136"/>
      <c r="D7" s="114" t="str">
        <f>IF(C7&lt;&gt;"",SUM('Etap 3 - prototyp'!H46:H55),"")</f>
        <v/>
      </c>
      <c r="E7" s="87"/>
      <c r="F7" s="88"/>
    </row>
    <row r="8" spans="2:9" x14ac:dyDescent="0.3">
      <c r="B8" s="118" t="str">
        <f>IF(C8&lt;&gt;"","3."&amp;4,"")</f>
        <v/>
      </c>
      <c r="C8" s="136"/>
      <c r="D8" s="114" t="str">
        <f>IF(C8&lt;&gt;"",SUM('Etap 3 - prototyp'!H59:H68),"")</f>
        <v/>
      </c>
      <c r="E8" s="87"/>
      <c r="F8" s="88"/>
    </row>
    <row r="9" spans="2:9" x14ac:dyDescent="0.3">
      <c r="B9" s="118" t="str">
        <f>IF(C9&lt;&gt;"","3."&amp;5,"")</f>
        <v/>
      </c>
      <c r="C9" s="136"/>
      <c r="D9" s="114" t="str">
        <f>IF(C9&lt;&gt;"",SUM('Etap 3 - prototyp'!H72:H81),"")</f>
        <v/>
      </c>
      <c r="E9" s="87"/>
      <c r="F9" s="88"/>
    </row>
    <row r="10" spans="2:9" x14ac:dyDescent="0.3">
      <c r="B10" s="118" t="str">
        <f>IF(C10&lt;&gt;"","3."&amp;6,"")</f>
        <v/>
      </c>
      <c r="C10" s="136"/>
      <c r="D10" s="114" t="str">
        <f>IF(C10&lt;&gt;"",SUM('Etap 3 - prototyp'!H85:H94),"")</f>
        <v/>
      </c>
      <c r="E10" s="87"/>
      <c r="F10" s="88"/>
    </row>
    <row r="11" spans="2:9" x14ac:dyDescent="0.3">
      <c r="B11" s="118" t="str">
        <f>IF(C11&lt;&gt;"","3."&amp;7,"")</f>
        <v/>
      </c>
      <c r="C11" s="136"/>
      <c r="D11" s="114" t="str">
        <f>IF(C11&lt;&gt;"",SUM('Etap 3 - prototyp'!H98:H107),"")</f>
        <v/>
      </c>
      <c r="E11" s="87"/>
      <c r="F11" s="88"/>
    </row>
    <row r="12" spans="2:9" x14ac:dyDescent="0.3">
      <c r="B12" s="118" t="str">
        <f>IF(C12&lt;&gt;"","3."&amp;8,"")</f>
        <v/>
      </c>
      <c r="C12" s="136"/>
      <c r="D12" s="114" t="str">
        <f>IF(C12&lt;&gt;"",SUM('Etap 3 - prototyp'!H111:H120),"")</f>
        <v/>
      </c>
      <c r="E12" s="87"/>
      <c r="F12" s="88"/>
    </row>
    <row r="13" spans="2:9" x14ac:dyDescent="0.3">
      <c r="B13" s="118" t="str">
        <f>IF(C13&lt;&gt;"","3."&amp;9,"")</f>
        <v/>
      </c>
      <c r="C13" s="136"/>
      <c r="D13" s="114" t="str">
        <f>IF(C13&lt;&gt;"",SUM('Etap 3 - prototyp'!H124:H133),"")</f>
        <v/>
      </c>
      <c r="E13" s="87"/>
      <c r="F13" s="88"/>
    </row>
    <row r="14" spans="2:9" ht="15" thickBot="1" x14ac:dyDescent="0.35">
      <c r="B14" s="119" t="str">
        <f>IF(C14&lt;&gt;"","3."&amp;10,"")</f>
        <v/>
      </c>
      <c r="C14" s="137"/>
      <c r="D14" s="116" t="str">
        <f>IF(C14&lt;&gt;"",SUM('Etap 3 - prototyp'!H137:H146),"")</f>
        <v/>
      </c>
      <c r="E14" s="89"/>
      <c r="F14" s="90"/>
    </row>
    <row r="15" spans="2:9" ht="15" thickBot="1" x14ac:dyDescent="0.35"/>
    <row r="16" spans="2:9" ht="26.4" thickBot="1" x14ac:dyDescent="0.35">
      <c r="B16" s="256" t="s">
        <v>175</v>
      </c>
      <c r="C16" s="257"/>
      <c r="D16" s="257"/>
      <c r="E16" s="257"/>
      <c r="F16" s="257"/>
      <c r="G16" s="257"/>
      <c r="H16" s="257"/>
      <c r="I16" s="258"/>
    </row>
    <row r="17" spans="2:9" ht="15" thickBot="1" x14ac:dyDescent="0.35"/>
    <row r="18" spans="2:9" ht="18.600000000000001" thickBot="1" x14ac:dyDescent="0.4">
      <c r="B18" s="250" t="str">
        <f>IF('Etap 3 - prototyp'!$C$5&lt;&gt;"",B5&amp;": "&amp;  'Etap 3 - prototyp'!$C$5,"")</f>
        <v/>
      </c>
      <c r="C18" s="251"/>
      <c r="D18" s="251"/>
      <c r="E18" s="251"/>
      <c r="F18" s="251"/>
      <c r="G18" s="251"/>
      <c r="H18" s="251"/>
      <c r="I18" s="252"/>
    </row>
    <row r="19" spans="2:9" x14ac:dyDescent="0.3">
      <c r="B19" s="110" t="s">
        <v>0</v>
      </c>
      <c r="C19" s="111" t="s">
        <v>14</v>
      </c>
      <c r="D19" s="111" t="s">
        <v>2</v>
      </c>
      <c r="E19" s="111" t="s">
        <v>3</v>
      </c>
      <c r="F19" s="111" t="s">
        <v>13</v>
      </c>
      <c r="G19" s="111" t="s">
        <v>4</v>
      </c>
      <c r="H19" s="111" t="s">
        <v>5</v>
      </c>
      <c r="I19" s="112" t="s">
        <v>6</v>
      </c>
    </row>
    <row r="20" spans="2:9" x14ac:dyDescent="0.3">
      <c r="B20" s="113" t="str">
        <f>IF(C20&lt;&gt;"","3.1.1","")</f>
        <v/>
      </c>
      <c r="C20" s="83"/>
      <c r="D20" s="83"/>
      <c r="E20" s="83"/>
      <c r="F20" s="83"/>
      <c r="G20" s="83"/>
      <c r="H20" s="114" t="str">
        <f>IF(F20&lt;&gt;"",F20*G20,"")</f>
        <v/>
      </c>
      <c r="I20" s="86"/>
    </row>
    <row r="21" spans="2:9" x14ac:dyDescent="0.3">
      <c r="B21" s="113" t="str">
        <f>IF(C21&lt;&gt;"","3.1.2","")</f>
        <v/>
      </c>
      <c r="C21" s="83"/>
      <c r="D21" s="83"/>
      <c r="E21" s="83"/>
      <c r="F21" s="83"/>
      <c r="G21" s="83"/>
      <c r="H21" s="114" t="str">
        <f t="shared" ref="H21:H29" si="0">IF(F21&lt;&gt;"",F21*G21,"")</f>
        <v/>
      </c>
      <c r="I21" s="86"/>
    </row>
    <row r="22" spans="2:9" x14ac:dyDescent="0.3">
      <c r="B22" s="113" t="str">
        <f>IF(C22&lt;&gt;"","3.1.3","")</f>
        <v/>
      </c>
      <c r="C22" s="83"/>
      <c r="D22" s="83"/>
      <c r="E22" s="83"/>
      <c r="F22" s="83"/>
      <c r="G22" s="83"/>
      <c r="H22" s="114" t="str">
        <f t="shared" si="0"/>
        <v/>
      </c>
      <c r="I22" s="86"/>
    </row>
    <row r="23" spans="2:9" x14ac:dyDescent="0.3">
      <c r="B23" s="113" t="str">
        <f>IF(C23&lt;&gt;"","3.1.4","")</f>
        <v/>
      </c>
      <c r="C23" s="83"/>
      <c r="D23" s="83"/>
      <c r="E23" s="83"/>
      <c r="F23" s="83"/>
      <c r="G23" s="83"/>
      <c r="H23" s="114" t="str">
        <f t="shared" si="0"/>
        <v/>
      </c>
      <c r="I23" s="86"/>
    </row>
    <row r="24" spans="2:9" x14ac:dyDescent="0.3">
      <c r="B24" s="113" t="str">
        <f>IF(C24&lt;&gt;"","3.1.5","")</f>
        <v/>
      </c>
      <c r="C24" s="83"/>
      <c r="D24" s="83"/>
      <c r="E24" s="83"/>
      <c r="F24" s="83"/>
      <c r="G24" s="83"/>
      <c r="H24" s="114" t="str">
        <f t="shared" si="0"/>
        <v/>
      </c>
      <c r="I24" s="86"/>
    </row>
    <row r="25" spans="2:9" x14ac:dyDescent="0.3">
      <c r="B25" s="113" t="str">
        <f>IF(C25&lt;&gt;"","3.1.6","")</f>
        <v/>
      </c>
      <c r="C25" s="83"/>
      <c r="D25" s="83"/>
      <c r="E25" s="83"/>
      <c r="F25" s="83"/>
      <c r="G25" s="83"/>
      <c r="H25" s="114" t="str">
        <f t="shared" si="0"/>
        <v/>
      </c>
      <c r="I25" s="86"/>
    </row>
    <row r="26" spans="2:9" x14ac:dyDescent="0.3">
      <c r="B26" s="113" t="str">
        <f>IF(C26&lt;&gt;"","3.1.7","")</f>
        <v/>
      </c>
      <c r="C26" s="83"/>
      <c r="D26" s="83"/>
      <c r="E26" s="83"/>
      <c r="F26" s="83"/>
      <c r="G26" s="83"/>
      <c r="H26" s="114" t="str">
        <f t="shared" si="0"/>
        <v/>
      </c>
      <c r="I26" s="86"/>
    </row>
    <row r="27" spans="2:9" x14ac:dyDescent="0.3">
      <c r="B27" s="113" t="str">
        <f>IF(C27&lt;&gt;"","3.1.8","")</f>
        <v/>
      </c>
      <c r="C27" s="83"/>
      <c r="D27" s="83"/>
      <c r="E27" s="83"/>
      <c r="F27" s="83"/>
      <c r="G27" s="83"/>
      <c r="H27" s="114" t="str">
        <f t="shared" si="0"/>
        <v/>
      </c>
      <c r="I27" s="86"/>
    </row>
    <row r="28" spans="2:9" x14ac:dyDescent="0.3">
      <c r="B28" s="113" t="str">
        <f>IF(C28&lt;&gt;"","3.1.9","")</f>
        <v/>
      </c>
      <c r="C28" s="83"/>
      <c r="D28" s="83"/>
      <c r="E28" s="83"/>
      <c r="F28" s="83"/>
      <c r="G28" s="83"/>
      <c r="H28" s="114" t="str">
        <f t="shared" si="0"/>
        <v/>
      </c>
      <c r="I28" s="86"/>
    </row>
    <row r="29" spans="2:9" ht="15" thickBot="1" x14ac:dyDescent="0.35">
      <c r="B29" s="115" t="str">
        <f>IF(C29&lt;&gt;"","3.1.10","")</f>
        <v/>
      </c>
      <c r="C29" s="91"/>
      <c r="D29" s="91"/>
      <c r="E29" s="91"/>
      <c r="F29" s="91"/>
      <c r="G29" s="91"/>
      <c r="H29" s="116" t="str">
        <f t="shared" si="0"/>
        <v/>
      </c>
      <c r="I29" s="92"/>
    </row>
    <row r="30" spans="2:9" ht="15" thickBot="1" x14ac:dyDescent="0.35">
      <c r="B30" s="117"/>
      <c r="C30" s="117"/>
      <c r="D30" s="117"/>
      <c r="E30" s="117"/>
      <c r="F30" s="117"/>
      <c r="G30" s="117"/>
      <c r="H30" s="117"/>
      <c r="I30" s="117"/>
    </row>
    <row r="31" spans="2:9" ht="18.600000000000001" thickBot="1" x14ac:dyDescent="0.4">
      <c r="B31" s="253" t="str">
        <f>IF('Etap 3 - prototyp'!$C$6&lt;&gt;"", B6&amp;": "&amp;  'Etap 3 - prototyp'!$C$6,"")</f>
        <v/>
      </c>
      <c r="C31" s="254"/>
      <c r="D31" s="254"/>
      <c r="E31" s="254"/>
      <c r="F31" s="254"/>
      <c r="G31" s="254"/>
      <c r="H31" s="254"/>
      <c r="I31" s="255"/>
    </row>
    <row r="32" spans="2:9" x14ac:dyDescent="0.3">
      <c r="B32" s="110" t="s">
        <v>0</v>
      </c>
      <c r="C32" s="111" t="s">
        <v>14</v>
      </c>
      <c r="D32" s="111" t="s">
        <v>2</v>
      </c>
      <c r="E32" s="111" t="s">
        <v>3</v>
      </c>
      <c r="F32" s="111" t="s">
        <v>13</v>
      </c>
      <c r="G32" s="111" t="s">
        <v>4</v>
      </c>
      <c r="H32" s="111" t="s">
        <v>5</v>
      </c>
      <c r="I32" s="112" t="s">
        <v>6</v>
      </c>
    </row>
    <row r="33" spans="2:9" x14ac:dyDescent="0.3">
      <c r="B33" s="118" t="str">
        <f>IF(C33&lt;&gt;"","3.2.1","")</f>
        <v/>
      </c>
      <c r="C33" s="83"/>
      <c r="D33" s="83"/>
      <c r="E33" s="83"/>
      <c r="F33" s="83"/>
      <c r="G33" s="83"/>
      <c r="H33" s="114" t="str">
        <f>IF(F33&lt;&gt;"",F33*G33,"")</f>
        <v/>
      </c>
      <c r="I33" s="86"/>
    </row>
    <row r="34" spans="2:9" x14ac:dyDescent="0.3">
      <c r="B34" s="118" t="str">
        <f>IF(C34&lt;&gt;"","3.2.2","")</f>
        <v/>
      </c>
      <c r="C34" s="83"/>
      <c r="D34" s="83"/>
      <c r="E34" s="83"/>
      <c r="F34" s="83"/>
      <c r="G34" s="83"/>
      <c r="H34" s="114" t="str">
        <f t="shared" ref="H34:H42" si="1">IF(F34&lt;&gt;"",F34*G34,"")</f>
        <v/>
      </c>
      <c r="I34" s="86"/>
    </row>
    <row r="35" spans="2:9" x14ac:dyDescent="0.3">
      <c r="B35" s="118" t="str">
        <f>IF(C35&lt;&gt;"","3.2.3","")</f>
        <v/>
      </c>
      <c r="C35" s="83"/>
      <c r="D35" s="83"/>
      <c r="E35" s="83"/>
      <c r="F35" s="83"/>
      <c r="G35" s="83"/>
      <c r="H35" s="114" t="str">
        <f t="shared" si="1"/>
        <v/>
      </c>
      <c r="I35" s="86"/>
    </row>
    <row r="36" spans="2:9" x14ac:dyDescent="0.3">
      <c r="B36" s="118" t="str">
        <f>IF(C36&lt;&gt;"","3.2.4","")</f>
        <v/>
      </c>
      <c r="C36" s="83"/>
      <c r="D36" s="83"/>
      <c r="E36" s="83"/>
      <c r="F36" s="83"/>
      <c r="G36" s="83"/>
      <c r="H36" s="114" t="str">
        <f t="shared" si="1"/>
        <v/>
      </c>
      <c r="I36" s="86"/>
    </row>
    <row r="37" spans="2:9" x14ac:dyDescent="0.3">
      <c r="B37" s="118" t="str">
        <f>IF(C37&lt;&gt;"","3.2.5","")</f>
        <v/>
      </c>
      <c r="C37" s="83"/>
      <c r="D37" s="83"/>
      <c r="E37" s="83"/>
      <c r="F37" s="83"/>
      <c r="G37" s="83"/>
      <c r="H37" s="114" t="str">
        <f t="shared" si="1"/>
        <v/>
      </c>
      <c r="I37" s="86"/>
    </row>
    <row r="38" spans="2:9" x14ac:dyDescent="0.3">
      <c r="B38" s="118" t="str">
        <f>IF(C38&lt;&gt;"","3.2.6","")</f>
        <v/>
      </c>
      <c r="C38" s="83"/>
      <c r="D38" s="83"/>
      <c r="E38" s="83"/>
      <c r="F38" s="83"/>
      <c r="G38" s="83"/>
      <c r="H38" s="114" t="str">
        <f t="shared" si="1"/>
        <v/>
      </c>
      <c r="I38" s="86"/>
    </row>
    <row r="39" spans="2:9" x14ac:dyDescent="0.3">
      <c r="B39" s="118" t="str">
        <f>IF(C39&lt;&gt;"","3.2.7","")</f>
        <v/>
      </c>
      <c r="C39" s="83"/>
      <c r="D39" s="83"/>
      <c r="E39" s="83"/>
      <c r="F39" s="83"/>
      <c r="G39" s="83"/>
      <c r="H39" s="114" t="str">
        <f t="shared" si="1"/>
        <v/>
      </c>
      <c r="I39" s="86"/>
    </row>
    <row r="40" spans="2:9" x14ac:dyDescent="0.3">
      <c r="B40" s="118" t="str">
        <f>IF(C40&lt;&gt;"","3.2.8","")</f>
        <v/>
      </c>
      <c r="C40" s="83"/>
      <c r="D40" s="83"/>
      <c r="E40" s="83"/>
      <c r="F40" s="83"/>
      <c r="G40" s="83"/>
      <c r="H40" s="114" t="str">
        <f t="shared" si="1"/>
        <v/>
      </c>
      <c r="I40" s="86"/>
    </row>
    <row r="41" spans="2:9" x14ac:dyDescent="0.3">
      <c r="B41" s="118" t="str">
        <f>IF(C41&lt;&gt;"","3.2.9","")</f>
        <v/>
      </c>
      <c r="C41" s="83"/>
      <c r="D41" s="83"/>
      <c r="E41" s="83"/>
      <c r="F41" s="83"/>
      <c r="G41" s="83"/>
      <c r="H41" s="114" t="str">
        <f t="shared" si="1"/>
        <v/>
      </c>
      <c r="I41" s="86"/>
    </row>
    <row r="42" spans="2:9" ht="15" thickBot="1" x14ac:dyDescent="0.35">
      <c r="B42" s="119" t="str">
        <f>IF(C42&lt;&gt;"","3.2.10","")</f>
        <v/>
      </c>
      <c r="C42" s="91"/>
      <c r="D42" s="91"/>
      <c r="E42" s="91"/>
      <c r="F42" s="91"/>
      <c r="G42" s="91"/>
      <c r="H42" s="116" t="str">
        <f t="shared" si="1"/>
        <v/>
      </c>
      <c r="I42" s="92"/>
    </row>
    <row r="43" spans="2:9" ht="15" thickBot="1" x14ac:dyDescent="0.35">
      <c r="B43" s="117"/>
      <c r="C43" s="117"/>
      <c r="D43" s="117"/>
      <c r="E43" s="117"/>
      <c r="F43" s="117"/>
      <c r="G43" s="117"/>
      <c r="H43" s="117"/>
      <c r="I43" s="117"/>
    </row>
    <row r="44" spans="2:9" ht="18.600000000000001" thickBot="1" x14ac:dyDescent="0.4">
      <c r="B44" s="250" t="str">
        <f>IF('Etap 3 - prototyp'!$C$7&lt;&gt;"", B7&amp;": "&amp;  'Etap 3 - prototyp'!$C$7,"")</f>
        <v/>
      </c>
      <c r="C44" s="251"/>
      <c r="D44" s="251"/>
      <c r="E44" s="251"/>
      <c r="F44" s="251"/>
      <c r="G44" s="251"/>
      <c r="H44" s="251"/>
      <c r="I44" s="252"/>
    </row>
    <row r="45" spans="2:9" x14ac:dyDescent="0.3">
      <c r="B45" s="110" t="s">
        <v>0</v>
      </c>
      <c r="C45" s="111" t="s">
        <v>14</v>
      </c>
      <c r="D45" s="111" t="s">
        <v>2</v>
      </c>
      <c r="E45" s="111" t="s">
        <v>3</v>
      </c>
      <c r="F45" s="111" t="s">
        <v>13</v>
      </c>
      <c r="G45" s="111" t="s">
        <v>4</v>
      </c>
      <c r="H45" s="111" t="s">
        <v>5</v>
      </c>
      <c r="I45" s="112" t="s">
        <v>6</v>
      </c>
    </row>
    <row r="46" spans="2:9" x14ac:dyDescent="0.3">
      <c r="B46" s="113" t="str">
        <f>IF(C46&lt;&gt;"","3.3.1","")</f>
        <v/>
      </c>
      <c r="C46" s="83"/>
      <c r="D46" s="83"/>
      <c r="E46" s="83"/>
      <c r="F46" s="83"/>
      <c r="G46" s="83"/>
      <c r="H46" s="114" t="str">
        <f>IF(F46&lt;&gt;"",F46*G46,"")</f>
        <v/>
      </c>
      <c r="I46" s="86"/>
    </row>
    <row r="47" spans="2:9" x14ac:dyDescent="0.3">
      <c r="B47" s="113" t="str">
        <f>IF(C47&lt;&gt;"","3.3.2","")</f>
        <v/>
      </c>
      <c r="C47" s="83"/>
      <c r="D47" s="83"/>
      <c r="E47" s="83"/>
      <c r="F47" s="83"/>
      <c r="G47" s="83"/>
      <c r="H47" s="114" t="str">
        <f t="shared" ref="H47:H55" si="2">IF(F47&lt;&gt;"",F47*G47,"")</f>
        <v/>
      </c>
      <c r="I47" s="86"/>
    </row>
    <row r="48" spans="2:9" x14ac:dyDescent="0.3">
      <c r="B48" s="113" t="str">
        <f>IF(C48&lt;&gt;"","3.3.3","")</f>
        <v/>
      </c>
      <c r="C48" s="83"/>
      <c r="D48" s="83"/>
      <c r="E48" s="83"/>
      <c r="F48" s="83"/>
      <c r="G48" s="83"/>
      <c r="H48" s="114" t="str">
        <f t="shared" si="2"/>
        <v/>
      </c>
      <c r="I48" s="86"/>
    </row>
    <row r="49" spans="2:9" x14ac:dyDescent="0.3">
      <c r="B49" s="113" t="str">
        <f>IF(C49&lt;&gt;"","3.3.4","")</f>
        <v/>
      </c>
      <c r="C49" s="83"/>
      <c r="D49" s="83"/>
      <c r="E49" s="83"/>
      <c r="F49" s="83"/>
      <c r="G49" s="83"/>
      <c r="H49" s="114" t="str">
        <f t="shared" si="2"/>
        <v/>
      </c>
      <c r="I49" s="86"/>
    </row>
    <row r="50" spans="2:9" x14ac:dyDescent="0.3">
      <c r="B50" s="113" t="str">
        <f>IF(C50&lt;&gt;"","3.3.5","")</f>
        <v/>
      </c>
      <c r="C50" s="83"/>
      <c r="D50" s="83"/>
      <c r="E50" s="83"/>
      <c r="F50" s="83"/>
      <c r="G50" s="83"/>
      <c r="H50" s="114" t="str">
        <f t="shared" si="2"/>
        <v/>
      </c>
      <c r="I50" s="86"/>
    </row>
    <row r="51" spans="2:9" x14ac:dyDescent="0.3">
      <c r="B51" s="113" t="str">
        <f>IF(C51&lt;&gt;"","3.3.6","")</f>
        <v/>
      </c>
      <c r="C51" s="83"/>
      <c r="D51" s="83"/>
      <c r="E51" s="83"/>
      <c r="F51" s="83"/>
      <c r="G51" s="83"/>
      <c r="H51" s="114" t="str">
        <f t="shared" si="2"/>
        <v/>
      </c>
      <c r="I51" s="86"/>
    </row>
    <row r="52" spans="2:9" x14ac:dyDescent="0.3">
      <c r="B52" s="113" t="str">
        <f>IF(C52&lt;&gt;"","3.3.7","")</f>
        <v/>
      </c>
      <c r="C52" s="83"/>
      <c r="D52" s="83"/>
      <c r="E52" s="83"/>
      <c r="F52" s="83"/>
      <c r="G52" s="83"/>
      <c r="H52" s="114" t="str">
        <f t="shared" si="2"/>
        <v/>
      </c>
      <c r="I52" s="86"/>
    </row>
    <row r="53" spans="2:9" x14ac:dyDescent="0.3">
      <c r="B53" s="113" t="str">
        <f>IF(C53&lt;&gt;"","3.3.8","")</f>
        <v/>
      </c>
      <c r="C53" s="83"/>
      <c r="D53" s="83"/>
      <c r="E53" s="83"/>
      <c r="F53" s="83"/>
      <c r="G53" s="83"/>
      <c r="H53" s="114" t="str">
        <f t="shared" si="2"/>
        <v/>
      </c>
      <c r="I53" s="86"/>
    </row>
    <row r="54" spans="2:9" x14ac:dyDescent="0.3">
      <c r="B54" s="113" t="str">
        <f>IF(C54&lt;&gt;"","3.3.9","")</f>
        <v/>
      </c>
      <c r="C54" s="83"/>
      <c r="D54" s="83"/>
      <c r="E54" s="83"/>
      <c r="F54" s="83"/>
      <c r="G54" s="83"/>
      <c r="H54" s="114" t="str">
        <f t="shared" si="2"/>
        <v/>
      </c>
      <c r="I54" s="86"/>
    </row>
    <row r="55" spans="2:9" ht="15" thickBot="1" x14ac:dyDescent="0.35">
      <c r="B55" s="115" t="str">
        <f>IF(C55&lt;&gt;"","3.3.10","")</f>
        <v/>
      </c>
      <c r="C55" s="91"/>
      <c r="D55" s="91"/>
      <c r="E55" s="91"/>
      <c r="F55" s="91"/>
      <c r="G55" s="91"/>
      <c r="H55" s="116" t="str">
        <f t="shared" si="2"/>
        <v/>
      </c>
      <c r="I55" s="92"/>
    </row>
    <row r="56" spans="2:9" ht="15" thickBot="1" x14ac:dyDescent="0.35">
      <c r="B56" s="117"/>
      <c r="C56" s="117"/>
      <c r="D56" s="117"/>
      <c r="E56" s="117"/>
      <c r="F56" s="117"/>
      <c r="G56" s="117"/>
      <c r="H56" s="117"/>
      <c r="I56" s="117"/>
    </row>
    <row r="57" spans="2:9" ht="18.600000000000001" thickBot="1" x14ac:dyDescent="0.4">
      <c r="B57" s="250" t="str">
        <f>IF('Etap 3 - prototyp'!$C$8&lt;&gt;"",B8&amp;": "&amp;  'Etap 3 - prototyp'!$C$8,"")</f>
        <v/>
      </c>
      <c r="C57" s="251"/>
      <c r="D57" s="251"/>
      <c r="E57" s="251"/>
      <c r="F57" s="251"/>
      <c r="G57" s="251"/>
      <c r="H57" s="251"/>
      <c r="I57" s="252"/>
    </row>
    <row r="58" spans="2:9" x14ac:dyDescent="0.3">
      <c r="B58" s="110" t="s">
        <v>0</v>
      </c>
      <c r="C58" s="111" t="s">
        <v>14</v>
      </c>
      <c r="D58" s="111" t="s">
        <v>2</v>
      </c>
      <c r="E58" s="111" t="s">
        <v>3</v>
      </c>
      <c r="F58" s="111" t="s">
        <v>13</v>
      </c>
      <c r="G58" s="111" t="s">
        <v>4</v>
      </c>
      <c r="H58" s="111" t="s">
        <v>5</v>
      </c>
      <c r="I58" s="112" t="s">
        <v>6</v>
      </c>
    </row>
    <row r="59" spans="2:9" x14ac:dyDescent="0.3">
      <c r="B59" s="113" t="str">
        <f>IF(C59&lt;&gt;"","3.4.1","")</f>
        <v/>
      </c>
      <c r="C59" s="83"/>
      <c r="D59" s="83"/>
      <c r="E59" s="83"/>
      <c r="F59" s="83"/>
      <c r="G59" s="83"/>
      <c r="H59" s="114" t="str">
        <f>IF(F59&lt;&gt;"",F59*G59,"")</f>
        <v/>
      </c>
      <c r="I59" s="86"/>
    </row>
    <row r="60" spans="2:9" x14ac:dyDescent="0.3">
      <c r="B60" s="113" t="str">
        <f>IF(C60&lt;&gt;"","3.4.2","")</f>
        <v/>
      </c>
      <c r="C60" s="83"/>
      <c r="D60" s="83"/>
      <c r="E60" s="83"/>
      <c r="F60" s="83"/>
      <c r="G60" s="83"/>
      <c r="H60" s="114" t="str">
        <f t="shared" ref="H60:H68" si="3">IF(F60&lt;&gt;"",F60*G60,"")</f>
        <v/>
      </c>
      <c r="I60" s="86"/>
    </row>
    <row r="61" spans="2:9" x14ac:dyDescent="0.3">
      <c r="B61" s="113" t="str">
        <f>IF(C61&lt;&gt;"","3.4.3","")</f>
        <v/>
      </c>
      <c r="C61" s="83"/>
      <c r="D61" s="83"/>
      <c r="E61" s="83"/>
      <c r="F61" s="83"/>
      <c r="G61" s="83"/>
      <c r="H61" s="114" t="str">
        <f t="shared" si="3"/>
        <v/>
      </c>
      <c r="I61" s="86"/>
    </row>
    <row r="62" spans="2:9" x14ac:dyDescent="0.3">
      <c r="B62" s="113" t="str">
        <f>IF(C62&lt;&gt;"","3.4.4","")</f>
        <v/>
      </c>
      <c r="C62" s="83"/>
      <c r="D62" s="83"/>
      <c r="E62" s="83"/>
      <c r="F62" s="83"/>
      <c r="G62" s="83"/>
      <c r="H62" s="114" t="str">
        <f t="shared" si="3"/>
        <v/>
      </c>
      <c r="I62" s="86"/>
    </row>
    <row r="63" spans="2:9" x14ac:dyDescent="0.3">
      <c r="B63" s="113" t="str">
        <f>IF(C63&lt;&gt;"","3.4.5","")</f>
        <v/>
      </c>
      <c r="C63" s="83"/>
      <c r="D63" s="83"/>
      <c r="E63" s="83"/>
      <c r="F63" s="83"/>
      <c r="G63" s="83"/>
      <c r="H63" s="114" t="str">
        <f t="shared" si="3"/>
        <v/>
      </c>
      <c r="I63" s="86"/>
    </row>
    <row r="64" spans="2:9" x14ac:dyDescent="0.3">
      <c r="B64" s="113" t="str">
        <f>IF(C64&lt;&gt;"","3.4.6","")</f>
        <v/>
      </c>
      <c r="C64" s="83"/>
      <c r="D64" s="83"/>
      <c r="E64" s="83"/>
      <c r="F64" s="83"/>
      <c r="G64" s="83"/>
      <c r="H64" s="114" t="str">
        <f t="shared" si="3"/>
        <v/>
      </c>
      <c r="I64" s="86"/>
    </row>
    <row r="65" spans="2:9" x14ac:dyDescent="0.3">
      <c r="B65" s="113" t="str">
        <f>IF(C65&lt;&gt;"","3.4.7","")</f>
        <v/>
      </c>
      <c r="C65" s="83"/>
      <c r="D65" s="83"/>
      <c r="E65" s="83"/>
      <c r="F65" s="83"/>
      <c r="G65" s="83"/>
      <c r="H65" s="114" t="str">
        <f t="shared" si="3"/>
        <v/>
      </c>
      <c r="I65" s="86"/>
    </row>
    <row r="66" spans="2:9" x14ac:dyDescent="0.3">
      <c r="B66" s="113" t="str">
        <f>IF(C66&lt;&gt;"","3.4.8","")</f>
        <v/>
      </c>
      <c r="C66" s="83"/>
      <c r="D66" s="83"/>
      <c r="E66" s="83"/>
      <c r="F66" s="83"/>
      <c r="G66" s="83"/>
      <c r="H66" s="114" t="str">
        <f t="shared" si="3"/>
        <v/>
      </c>
      <c r="I66" s="86"/>
    </row>
    <row r="67" spans="2:9" x14ac:dyDescent="0.3">
      <c r="B67" s="113" t="str">
        <f>IF(C67&lt;&gt;"","3.4.9","")</f>
        <v/>
      </c>
      <c r="C67" s="83"/>
      <c r="D67" s="83"/>
      <c r="E67" s="83"/>
      <c r="F67" s="83"/>
      <c r="G67" s="83"/>
      <c r="H67" s="114" t="str">
        <f t="shared" si="3"/>
        <v/>
      </c>
      <c r="I67" s="86"/>
    </row>
    <row r="68" spans="2:9" ht="15" thickBot="1" x14ac:dyDescent="0.35">
      <c r="B68" s="115" t="str">
        <f>IF(C68&lt;&gt;"","3.4.10","")</f>
        <v/>
      </c>
      <c r="C68" s="91"/>
      <c r="D68" s="91"/>
      <c r="E68" s="91"/>
      <c r="F68" s="91"/>
      <c r="G68" s="91"/>
      <c r="H68" s="116" t="str">
        <f t="shared" si="3"/>
        <v/>
      </c>
      <c r="I68" s="92"/>
    </row>
    <row r="69" spans="2:9" ht="15" thickBot="1" x14ac:dyDescent="0.35">
      <c r="B69" s="117"/>
      <c r="C69" s="117"/>
      <c r="D69" s="117"/>
      <c r="E69" s="117"/>
      <c r="F69" s="117"/>
      <c r="G69" s="117"/>
      <c r="H69" s="117"/>
      <c r="I69" s="117"/>
    </row>
    <row r="70" spans="2:9" ht="18.600000000000001" thickBot="1" x14ac:dyDescent="0.4">
      <c r="B70" s="250" t="str">
        <f>IF('Etap 3 - prototyp'!$C$9&lt;&gt;"",B9&amp;": "&amp;  'Etap 3 - prototyp'!$C$9,"")</f>
        <v/>
      </c>
      <c r="C70" s="251"/>
      <c r="D70" s="251"/>
      <c r="E70" s="251"/>
      <c r="F70" s="251"/>
      <c r="G70" s="251"/>
      <c r="H70" s="251"/>
      <c r="I70" s="252"/>
    </row>
    <row r="71" spans="2:9" x14ac:dyDescent="0.3">
      <c r="B71" s="110" t="s">
        <v>0</v>
      </c>
      <c r="C71" s="111" t="s">
        <v>14</v>
      </c>
      <c r="D71" s="111" t="s">
        <v>2</v>
      </c>
      <c r="E71" s="111" t="s">
        <v>3</v>
      </c>
      <c r="F71" s="111" t="s">
        <v>13</v>
      </c>
      <c r="G71" s="111" t="s">
        <v>4</v>
      </c>
      <c r="H71" s="111" t="s">
        <v>5</v>
      </c>
      <c r="I71" s="112" t="s">
        <v>6</v>
      </c>
    </row>
    <row r="72" spans="2:9" x14ac:dyDescent="0.3">
      <c r="B72" s="113" t="str">
        <f>IF(C72&lt;&gt;"","3.5.1","")</f>
        <v/>
      </c>
      <c r="C72" s="83"/>
      <c r="D72" s="83"/>
      <c r="E72" s="83"/>
      <c r="F72" s="83"/>
      <c r="G72" s="83"/>
      <c r="H72" s="114" t="str">
        <f>IF(F72&lt;&gt;"",F72*G72,"")</f>
        <v/>
      </c>
      <c r="I72" s="86"/>
    </row>
    <row r="73" spans="2:9" x14ac:dyDescent="0.3">
      <c r="B73" s="113" t="str">
        <f>IF(C73&lt;&gt;"","3.5.2","")</f>
        <v/>
      </c>
      <c r="C73" s="83"/>
      <c r="D73" s="83"/>
      <c r="E73" s="83"/>
      <c r="F73" s="83"/>
      <c r="G73" s="83"/>
      <c r="H73" s="114" t="str">
        <f t="shared" ref="H73:H81" si="4">IF(F73&lt;&gt;"",F73*G73,"")</f>
        <v/>
      </c>
      <c r="I73" s="86"/>
    </row>
    <row r="74" spans="2:9" x14ac:dyDescent="0.3">
      <c r="B74" s="113" t="str">
        <f>IF(C74&lt;&gt;"","3.5.3","")</f>
        <v/>
      </c>
      <c r="C74" s="83"/>
      <c r="D74" s="83"/>
      <c r="E74" s="83"/>
      <c r="F74" s="83"/>
      <c r="G74" s="83"/>
      <c r="H74" s="114" t="str">
        <f t="shared" si="4"/>
        <v/>
      </c>
      <c r="I74" s="86"/>
    </row>
    <row r="75" spans="2:9" x14ac:dyDescent="0.3">
      <c r="B75" s="113" t="str">
        <f>IF(C75&lt;&gt;"","3.5.4","")</f>
        <v/>
      </c>
      <c r="C75" s="83"/>
      <c r="D75" s="83"/>
      <c r="E75" s="83"/>
      <c r="F75" s="83"/>
      <c r="G75" s="83"/>
      <c r="H75" s="114" t="str">
        <f t="shared" si="4"/>
        <v/>
      </c>
      <c r="I75" s="86"/>
    </row>
    <row r="76" spans="2:9" x14ac:dyDescent="0.3">
      <c r="B76" s="113" t="str">
        <f>IF(C76&lt;&gt;"","3.5.5","")</f>
        <v/>
      </c>
      <c r="C76" s="83"/>
      <c r="D76" s="83"/>
      <c r="E76" s="83"/>
      <c r="F76" s="83"/>
      <c r="G76" s="83"/>
      <c r="H76" s="114" t="str">
        <f t="shared" si="4"/>
        <v/>
      </c>
      <c r="I76" s="86"/>
    </row>
    <row r="77" spans="2:9" x14ac:dyDescent="0.3">
      <c r="B77" s="113" t="str">
        <f>IF(C77&lt;&gt;"","3.5.6","")</f>
        <v/>
      </c>
      <c r="C77" s="83"/>
      <c r="D77" s="83"/>
      <c r="E77" s="83"/>
      <c r="F77" s="83"/>
      <c r="G77" s="83"/>
      <c r="H77" s="114" t="str">
        <f t="shared" si="4"/>
        <v/>
      </c>
      <c r="I77" s="86"/>
    </row>
    <row r="78" spans="2:9" x14ac:dyDescent="0.3">
      <c r="B78" s="113" t="str">
        <f>IF(C78&lt;&gt;"","3.5.7","")</f>
        <v/>
      </c>
      <c r="C78" s="83"/>
      <c r="D78" s="83"/>
      <c r="E78" s="83"/>
      <c r="F78" s="83"/>
      <c r="G78" s="83"/>
      <c r="H78" s="114" t="str">
        <f t="shared" si="4"/>
        <v/>
      </c>
      <c r="I78" s="86"/>
    </row>
    <row r="79" spans="2:9" x14ac:dyDescent="0.3">
      <c r="B79" s="113" t="str">
        <f>IF(C79&lt;&gt;"","3.5.8","")</f>
        <v/>
      </c>
      <c r="C79" s="83"/>
      <c r="D79" s="83"/>
      <c r="E79" s="83"/>
      <c r="F79" s="83"/>
      <c r="G79" s="83"/>
      <c r="H79" s="114" t="str">
        <f t="shared" si="4"/>
        <v/>
      </c>
      <c r="I79" s="86"/>
    </row>
    <row r="80" spans="2:9" x14ac:dyDescent="0.3">
      <c r="B80" s="113" t="str">
        <f>IF(C80&lt;&gt;"","3.5.9","")</f>
        <v/>
      </c>
      <c r="C80" s="83"/>
      <c r="D80" s="83"/>
      <c r="E80" s="83"/>
      <c r="F80" s="83"/>
      <c r="G80" s="83"/>
      <c r="H80" s="114" t="str">
        <f t="shared" si="4"/>
        <v/>
      </c>
      <c r="I80" s="86"/>
    </row>
    <row r="81" spans="2:9" ht="15" thickBot="1" x14ac:dyDescent="0.35">
      <c r="B81" s="115" t="str">
        <f>IF(C81&lt;&gt;"","3.5.10","")</f>
        <v/>
      </c>
      <c r="C81" s="91"/>
      <c r="D81" s="91"/>
      <c r="E81" s="91"/>
      <c r="F81" s="91"/>
      <c r="G81" s="91"/>
      <c r="H81" s="116" t="str">
        <f t="shared" si="4"/>
        <v/>
      </c>
      <c r="I81" s="92"/>
    </row>
    <row r="82" spans="2:9" ht="15" thickBot="1" x14ac:dyDescent="0.35">
      <c r="B82" s="117"/>
      <c r="C82" s="117"/>
      <c r="D82" s="117"/>
      <c r="E82" s="117"/>
      <c r="F82" s="117"/>
      <c r="G82" s="117"/>
      <c r="H82" s="117"/>
      <c r="I82" s="117"/>
    </row>
    <row r="83" spans="2:9" ht="18.600000000000001" thickBot="1" x14ac:dyDescent="0.4">
      <c r="B83" s="250" t="str">
        <f>IF('Etap 3 - prototyp'!$C$10&lt;&gt;"",B10&amp;": "&amp;  'Etap 3 - prototyp'!$C$10,"")</f>
        <v/>
      </c>
      <c r="C83" s="251"/>
      <c r="D83" s="251"/>
      <c r="E83" s="251"/>
      <c r="F83" s="251"/>
      <c r="G83" s="251"/>
      <c r="H83" s="251"/>
      <c r="I83" s="252"/>
    </row>
    <row r="84" spans="2:9" x14ac:dyDescent="0.3">
      <c r="B84" s="110" t="s">
        <v>0</v>
      </c>
      <c r="C84" s="111" t="s">
        <v>14</v>
      </c>
      <c r="D84" s="111" t="s">
        <v>2</v>
      </c>
      <c r="E84" s="111" t="s">
        <v>3</v>
      </c>
      <c r="F84" s="111" t="s">
        <v>13</v>
      </c>
      <c r="G84" s="111" t="s">
        <v>4</v>
      </c>
      <c r="H84" s="111" t="s">
        <v>5</v>
      </c>
      <c r="I84" s="112" t="s">
        <v>6</v>
      </c>
    </row>
    <row r="85" spans="2:9" x14ac:dyDescent="0.3">
      <c r="B85" s="113" t="str">
        <f>IF(C85&lt;&gt;"","3.6.1","")</f>
        <v/>
      </c>
      <c r="C85" s="83"/>
      <c r="D85" s="83"/>
      <c r="E85" s="83"/>
      <c r="F85" s="83"/>
      <c r="G85" s="83"/>
      <c r="H85" s="114" t="str">
        <f>IF(F85&lt;&gt;"",F85*G85,"")</f>
        <v/>
      </c>
      <c r="I85" s="86"/>
    </row>
    <row r="86" spans="2:9" x14ac:dyDescent="0.3">
      <c r="B86" s="113" t="str">
        <f>IF(C86&lt;&gt;"","3.6.2","")</f>
        <v/>
      </c>
      <c r="C86" s="83"/>
      <c r="D86" s="83"/>
      <c r="E86" s="83"/>
      <c r="F86" s="83"/>
      <c r="G86" s="83"/>
      <c r="H86" s="114" t="str">
        <f t="shared" ref="H86:H94" si="5">IF(F86&lt;&gt;"",F86*G86,"")</f>
        <v/>
      </c>
      <c r="I86" s="86"/>
    </row>
    <row r="87" spans="2:9" x14ac:dyDescent="0.3">
      <c r="B87" s="113" t="str">
        <f>IF(C87&lt;&gt;"","3.6.3","")</f>
        <v/>
      </c>
      <c r="C87" s="83"/>
      <c r="D87" s="83"/>
      <c r="E87" s="83"/>
      <c r="F87" s="83"/>
      <c r="G87" s="83"/>
      <c r="H87" s="114" t="str">
        <f t="shared" si="5"/>
        <v/>
      </c>
      <c r="I87" s="86"/>
    </row>
    <row r="88" spans="2:9" x14ac:dyDescent="0.3">
      <c r="B88" s="113" t="str">
        <f>IF(C88&lt;&gt;"","3.6.4","")</f>
        <v/>
      </c>
      <c r="C88" s="83"/>
      <c r="D88" s="83"/>
      <c r="E88" s="83"/>
      <c r="F88" s="83"/>
      <c r="G88" s="83"/>
      <c r="H88" s="114" t="str">
        <f t="shared" si="5"/>
        <v/>
      </c>
      <c r="I88" s="86"/>
    </row>
    <row r="89" spans="2:9" x14ac:dyDescent="0.3">
      <c r="B89" s="113" t="str">
        <f>IF(C89&lt;&gt;"","3.6.5","")</f>
        <v/>
      </c>
      <c r="C89" s="83"/>
      <c r="D89" s="83"/>
      <c r="E89" s="83"/>
      <c r="F89" s="83"/>
      <c r="G89" s="83"/>
      <c r="H89" s="114" t="str">
        <f t="shared" si="5"/>
        <v/>
      </c>
      <c r="I89" s="86"/>
    </row>
    <row r="90" spans="2:9" x14ac:dyDescent="0.3">
      <c r="B90" s="113" t="str">
        <f>IF(C90&lt;&gt;"","3.6.6","")</f>
        <v/>
      </c>
      <c r="C90" s="83"/>
      <c r="D90" s="83"/>
      <c r="E90" s="83"/>
      <c r="F90" s="83"/>
      <c r="G90" s="83"/>
      <c r="H90" s="114" t="str">
        <f t="shared" si="5"/>
        <v/>
      </c>
      <c r="I90" s="86"/>
    </row>
    <row r="91" spans="2:9" x14ac:dyDescent="0.3">
      <c r="B91" s="113" t="str">
        <f>IF(C91&lt;&gt;"","3.6.7","")</f>
        <v/>
      </c>
      <c r="C91" s="83"/>
      <c r="D91" s="83"/>
      <c r="E91" s="83"/>
      <c r="F91" s="83"/>
      <c r="G91" s="83"/>
      <c r="H91" s="114" t="str">
        <f t="shared" si="5"/>
        <v/>
      </c>
      <c r="I91" s="86"/>
    </row>
    <row r="92" spans="2:9" x14ac:dyDescent="0.3">
      <c r="B92" s="113" t="str">
        <f>IF(C92&lt;&gt;"","3.6.8","")</f>
        <v/>
      </c>
      <c r="C92" s="83"/>
      <c r="D92" s="83"/>
      <c r="E92" s="83"/>
      <c r="F92" s="83"/>
      <c r="G92" s="83"/>
      <c r="H92" s="114" t="str">
        <f t="shared" si="5"/>
        <v/>
      </c>
      <c r="I92" s="86"/>
    </row>
    <row r="93" spans="2:9" x14ac:dyDescent="0.3">
      <c r="B93" s="113" t="str">
        <f>IF(C93&lt;&gt;"","3.6.9","")</f>
        <v/>
      </c>
      <c r="C93" s="83"/>
      <c r="D93" s="83"/>
      <c r="E93" s="83"/>
      <c r="F93" s="83"/>
      <c r="G93" s="83"/>
      <c r="H93" s="114" t="str">
        <f t="shared" si="5"/>
        <v/>
      </c>
      <c r="I93" s="86"/>
    </row>
    <row r="94" spans="2:9" ht="15" thickBot="1" x14ac:dyDescent="0.35">
      <c r="B94" s="115" t="str">
        <f>IF(C94&lt;&gt;"","3.6.10","")</f>
        <v/>
      </c>
      <c r="C94" s="91"/>
      <c r="D94" s="91"/>
      <c r="E94" s="91"/>
      <c r="F94" s="91"/>
      <c r="G94" s="91"/>
      <c r="H94" s="116" t="str">
        <f t="shared" si="5"/>
        <v/>
      </c>
      <c r="I94" s="92"/>
    </row>
    <row r="95" spans="2:9" ht="15" thickBot="1" x14ac:dyDescent="0.35">
      <c r="B95" s="117"/>
      <c r="C95" s="117"/>
      <c r="D95" s="117"/>
      <c r="E95" s="117"/>
      <c r="F95" s="117"/>
      <c r="G95" s="117"/>
      <c r="H95" s="117"/>
      <c r="I95" s="117"/>
    </row>
    <row r="96" spans="2:9" ht="18.600000000000001" thickBot="1" x14ac:dyDescent="0.4">
      <c r="B96" s="250" t="str">
        <f>IF('Etap 3 - prototyp'!$C$11&lt;&gt;"",B11&amp;": "&amp;  'Etap 3 - prototyp'!$C$11,"")</f>
        <v/>
      </c>
      <c r="C96" s="251"/>
      <c r="D96" s="251"/>
      <c r="E96" s="251"/>
      <c r="F96" s="251"/>
      <c r="G96" s="251"/>
      <c r="H96" s="251"/>
      <c r="I96" s="252"/>
    </row>
    <row r="97" spans="2:9" x14ac:dyDescent="0.3">
      <c r="B97" s="110" t="s">
        <v>0</v>
      </c>
      <c r="C97" s="111" t="s">
        <v>14</v>
      </c>
      <c r="D97" s="111" t="s">
        <v>2</v>
      </c>
      <c r="E97" s="111" t="s">
        <v>3</v>
      </c>
      <c r="F97" s="111" t="s">
        <v>13</v>
      </c>
      <c r="G97" s="111" t="s">
        <v>4</v>
      </c>
      <c r="H97" s="111" t="s">
        <v>5</v>
      </c>
      <c r="I97" s="112" t="s">
        <v>6</v>
      </c>
    </row>
    <row r="98" spans="2:9" x14ac:dyDescent="0.3">
      <c r="B98" s="113" t="str">
        <f>IF(C98&lt;&gt;"","3.7.1","")</f>
        <v/>
      </c>
      <c r="C98" s="83"/>
      <c r="D98" s="83"/>
      <c r="E98" s="83"/>
      <c r="F98" s="83"/>
      <c r="G98" s="83"/>
      <c r="H98" s="114" t="str">
        <f>IF(F98&lt;&gt;"",F98*G98,"")</f>
        <v/>
      </c>
      <c r="I98" s="86"/>
    </row>
    <row r="99" spans="2:9" x14ac:dyDescent="0.3">
      <c r="B99" s="113" t="str">
        <f>IF(C99&lt;&gt;"","3.7.2","")</f>
        <v/>
      </c>
      <c r="C99" s="83"/>
      <c r="D99" s="83"/>
      <c r="E99" s="83"/>
      <c r="F99" s="83"/>
      <c r="G99" s="83"/>
      <c r="H99" s="114" t="str">
        <f t="shared" ref="H99:H107" si="6">IF(F99&lt;&gt;"",F99*G99,"")</f>
        <v/>
      </c>
      <c r="I99" s="86"/>
    </row>
    <row r="100" spans="2:9" x14ac:dyDescent="0.3">
      <c r="B100" s="113" t="str">
        <f>IF(C100&lt;&gt;"","3.7.3","")</f>
        <v/>
      </c>
      <c r="C100" s="83"/>
      <c r="D100" s="83"/>
      <c r="E100" s="83"/>
      <c r="F100" s="83"/>
      <c r="G100" s="83"/>
      <c r="H100" s="114" t="str">
        <f t="shared" si="6"/>
        <v/>
      </c>
      <c r="I100" s="86"/>
    </row>
    <row r="101" spans="2:9" x14ac:dyDescent="0.3">
      <c r="B101" s="113" t="str">
        <f>IF(C101&lt;&gt;"","3.7.4","")</f>
        <v/>
      </c>
      <c r="C101" s="83"/>
      <c r="D101" s="83"/>
      <c r="E101" s="83"/>
      <c r="F101" s="83"/>
      <c r="G101" s="83"/>
      <c r="H101" s="114" t="str">
        <f t="shared" si="6"/>
        <v/>
      </c>
      <c r="I101" s="86"/>
    </row>
    <row r="102" spans="2:9" x14ac:dyDescent="0.3">
      <c r="B102" s="113" t="str">
        <f>IF(C102&lt;&gt;"","3.7.5","")</f>
        <v/>
      </c>
      <c r="C102" s="83"/>
      <c r="D102" s="83"/>
      <c r="E102" s="83"/>
      <c r="F102" s="83"/>
      <c r="G102" s="83"/>
      <c r="H102" s="114" t="str">
        <f t="shared" si="6"/>
        <v/>
      </c>
      <c r="I102" s="86"/>
    </row>
    <row r="103" spans="2:9" x14ac:dyDescent="0.3">
      <c r="B103" s="113" t="str">
        <f>IF(C103&lt;&gt;"","3.7.6","")</f>
        <v/>
      </c>
      <c r="C103" s="83"/>
      <c r="D103" s="83"/>
      <c r="E103" s="83"/>
      <c r="F103" s="83"/>
      <c r="G103" s="83"/>
      <c r="H103" s="114" t="str">
        <f t="shared" si="6"/>
        <v/>
      </c>
      <c r="I103" s="86"/>
    </row>
    <row r="104" spans="2:9" x14ac:dyDescent="0.3">
      <c r="B104" s="113" t="str">
        <f>IF(C104&lt;&gt;"","3.7.7","")</f>
        <v/>
      </c>
      <c r="C104" s="83"/>
      <c r="D104" s="83"/>
      <c r="E104" s="83"/>
      <c r="F104" s="83"/>
      <c r="G104" s="83"/>
      <c r="H104" s="114" t="str">
        <f t="shared" si="6"/>
        <v/>
      </c>
      <c r="I104" s="86"/>
    </row>
    <row r="105" spans="2:9" x14ac:dyDescent="0.3">
      <c r="B105" s="113" t="str">
        <f>IF(C105&lt;&gt;"","3.7.8","")</f>
        <v/>
      </c>
      <c r="C105" s="83"/>
      <c r="D105" s="83"/>
      <c r="E105" s="83"/>
      <c r="F105" s="83"/>
      <c r="G105" s="83"/>
      <c r="H105" s="114" t="str">
        <f t="shared" si="6"/>
        <v/>
      </c>
      <c r="I105" s="86"/>
    </row>
    <row r="106" spans="2:9" x14ac:dyDescent="0.3">
      <c r="B106" s="113" t="str">
        <f>IF(C106&lt;&gt;"","3.7.9","")</f>
        <v/>
      </c>
      <c r="C106" s="83"/>
      <c r="D106" s="83"/>
      <c r="E106" s="83"/>
      <c r="F106" s="83"/>
      <c r="G106" s="83"/>
      <c r="H106" s="114" t="str">
        <f t="shared" si="6"/>
        <v/>
      </c>
      <c r="I106" s="86"/>
    </row>
    <row r="107" spans="2:9" ht="15" thickBot="1" x14ac:dyDescent="0.35">
      <c r="B107" s="115" t="str">
        <f>IF(C107&lt;&gt;"","3.7.10","")</f>
        <v/>
      </c>
      <c r="C107" s="91"/>
      <c r="D107" s="91"/>
      <c r="E107" s="91"/>
      <c r="F107" s="91"/>
      <c r="G107" s="91"/>
      <c r="H107" s="116" t="str">
        <f t="shared" si="6"/>
        <v/>
      </c>
      <c r="I107" s="92"/>
    </row>
    <row r="108" spans="2:9" ht="15" thickBot="1" x14ac:dyDescent="0.35">
      <c r="B108" s="117"/>
      <c r="C108" s="117"/>
      <c r="D108" s="117"/>
      <c r="E108" s="117"/>
      <c r="F108" s="117"/>
      <c r="G108" s="117"/>
      <c r="H108" s="117"/>
      <c r="I108" s="117"/>
    </row>
    <row r="109" spans="2:9" ht="18.600000000000001" thickBot="1" x14ac:dyDescent="0.4">
      <c r="B109" s="250" t="str">
        <f>IF('Etap 3 - prototyp'!$C$12&lt;&gt;"", B12&amp;": "&amp;  'Etap 3 - prototyp'!$C$12,"")</f>
        <v/>
      </c>
      <c r="C109" s="251"/>
      <c r="D109" s="251"/>
      <c r="E109" s="251"/>
      <c r="F109" s="251"/>
      <c r="G109" s="251"/>
      <c r="H109" s="251"/>
      <c r="I109" s="252"/>
    </row>
    <row r="110" spans="2:9" x14ac:dyDescent="0.3">
      <c r="B110" s="110" t="s">
        <v>0</v>
      </c>
      <c r="C110" s="111" t="s">
        <v>14</v>
      </c>
      <c r="D110" s="111" t="s">
        <v>2</v>
      </c>
      <c r="E110" s="111" t="s">
        <v>3</v>
      </c>
      <c r="F110" s="111" t="s">
        <v>13</v>
      </c>
      <c r="G110" s="111" t="s">
        <v>4</v>
      </c>
      <c r="H110" s="111" t="s">
        <v>5</v>
      </c>
      <c r="I110" s="112" t="s">
        <v>6</v>
      </c>
    </row>
    <row r="111" spans="2:9" x14ac:dyDescent="0.3">
      <c r="B111" s="113" t="str">
        <f>IF(C111&lt;&gt;"","3.8.1","")</f>
        <v/>
      </c>
      <c r="C111" s="83"/>
      <c r="D111" s="83"/>
      <c r="E111" s="83"/>
      <c r="F111" s="83"/>
      <c r="G111" s="83"/>
      <c r="H111" s="114" t="str">
        <f>IF(F111&lt;&gt;"",F111*G111,"")</f>
        <v/>
      </c>
      <c r="I111" s="86"/>
    </row>
    <row r="112" spans="2:9" x14ac:dyDescent="0.3">
      <c r="B112" s="113" t="str">
        <f>IF(C112&lt;&gt;"","3.8.2","")</f>
        <v/>
      </c>
      <c r="C112" s="83"/>
      <c r="D112" s="83"/>
      <c r="E112" s="83"/>
      <c r="F112" s="83"/>
      <c r="G112" s="83"/>
      <c r="H112" s="114" t="str">
        <f t="shared" ref="H112:H120" si="7">IF(F112&lt;&gt;"",F112*G112,"")</f>
        <v/>
      </c>
      <c r="I112" s="86"/>
    </row>
    <row r="113" spans="2:9" x14ac:dyDescent="0.3">
      <c r="B113" s="113" t="str">
        <f>IF(C113&lt;&gt;"","3.8.3","")</f>
        <v/>
      </c>
      <c r="C113" s="83"/>
      <c r="D113" s="83"/>
      <c r="E113" s="83"/>
      <c r="F113" s="83"/>
      <c r="G113" s="83"/>
      <c r="H113" s="114" t="str">
        <f t="shared" si="7"/>
        <v/>
      </c>
      <c r="I113" s="86"/>
    </row>
    <row r="114" spans="2:9" x14ac:dyDescent="0.3">
      <c r="B114" s="113" t="str">
        <f>IF(C114&lt;&gt;"","3.8.4","")</f>
        <v/>
      </c>
      <c r="C114" s="83"/>
      <c r="D114" s="83"/>
      <c r="E114" s="83"/>
      <c r="F114" s="83"/>
      <c r="G114" s="83"/>
      <c r="H114" s="114" t="str">
        <f t="shared" si="7"/>
        <v/>
      </c>
      <c r="I114" s="86"/>
    </row>
    <row r="115" spans="2:9" x14ac:dyDescent="0.3">
      <c r="B115" s="113" t="str">
        <f>IF(C115&lt;&gt;"","3.8.5","")</f>
        <v/>
      </c>
      <c r="C115" s="83"/>
      <c r="D115" s="83"/>
      <c r="E115" s="83"/>
      <c r="F115" s="83"/>
      <c r="G115" s="83"/>
      <c r="H115" s="114" t="str">
        <f t="shared" si="7"/>
        <v/>
      </c>
      <c r="I115" s="86"/>
    </row>
    <row r="116" spans="2:9" x14ac:dyDescent="0.3">
      <c r="B116" s="113" t="str">
        <f>IF(C116&lt;&gt;"","3.8.6","")</f>
        <v/>
      </c>
      <c r="C116" s="83"/>
      <c r="D116" s="83"/>
      <c r="E116" s="83"/>
      <c r="F116" s="83"/>
      <c r="G116" s="83"/>
      <c r="H116" s="114" t="str">
        <f t="shared" si="7"/>
        <v/>
      </c>
      <c r="I116" s="86"/>
    </row>
    <row r="117" spans="2:9" x14ac:dyDescent="0.3">
      <c r="B117" s="113" t="str">
        <f>IF(C117&lt;&gt;"","3.8.7","")</f>
        <v/>
      </c>
      <c r="C117" s="83"/>
      <c r="D117" s="83"/>
      <c r="E117" s="83"/>
      <c r="F117" s="83"/>
      <c r="G117" s="83"/>
      <c r="H117" s="114" t="str">
        <f t="shared" si="7"/>
        <v/>
      </c>
      <c r="I117" s="86"/>
    </row>
    <row r="118" spans="2:9" x14ac:dyDescent="0.3">
      <c r="B118" s="113" t="str">
        <f>IF(C118&lt;&gt;"","3.8.8","")</f>
        <v/>
      </c>
      <c r="C118" s="83"/>
      <c r="D118" s="83"/>
      <c r="E118" s="83"/>
      <c r="F118" s="83"/>
      <c r="G118" s="83"/>
      <c r="H118" s="114" t="str">
        <f t="shared" si="7"/>
        <v/>
      </c>
      <c r="I118" s="86"/>
    </row>
    <row r="119" spans="2:9" x14ac:dyDescent="0.3">
      <c r="B119" s="113" t="str">
        <f>IF(C119&lt;&gt;"","3.8.9","")</f>
        <v/>
      </c>
      <c r="C119" s="83"/>
      <c r="D119" s="83"/>
      <c r="E119" s="83"/>
      <c r="F119" s="83"/>
      <c r="G119" s="83"/>
      <c r="H119" s="114" t="str">
        <f t="shared" si="7"/>
        <v/>
      </c>
      <c r="I119" s="86"/>
    </row>
    <row r="120" spans="2:9" ht="15" thickBot="1" x14ac:dyDescent="0.35">
      <c r="B120" s="115" t="str">
        <f>IF(C120&lt;&gt;"","3.8.10","")</f>
        <v/>
      </c>
      <c r="C120" s="91"/>
      <c r="D120" s="91"/>
      <c r="E120" s="91"/>
      <c r="F120" s="91"/>
      <c r="G120" s="91"/>
      <c r="H120" s="116" t="str">
        <f t="shared" si="7"/>
        <v/>
      </c>
      <c r="I120" s="92"/>
    </row>
    <row r="121" spans="2:9" ht="15" thickBot="1" x14ac:dyDescent="0.35">
      <c r="B121" s="117"/>
      <c r="C121" s="117"/>
      <c r="D121" s="117"/>
      <c r="E121" s="117"/>
      <c r="F121" s="117"/>
      <c r="G121" s="117"/>
      <c r="H121" s="117"/>
      <c r="I121" s="117"/>
    </row>
    <row r="122" spans="2:9" ht="18.600000000000001" thickBot="1" x14ac:dyDescent="0.4">
      <c r="B122" s="250" t="str">
        <f>IF('Etap 3 - prototyp'!$C$13&lt;&gt;"",B13&amp;": "&amp;  'Etap 3 - prototyp'!$C$13,"")</f>
        <v/>
      </c>
      <c r="C122" s="251"/>
      <c r="D122" s="251"/>
      <c r="E122" s="251"/>
      <c r="F122" s="251"/>
      <c r="G122" s="251"/>
      <c r="H122" s="251"/>
      <c r="I122" s="252"/>
    </row>
    <row r="123" spans="2:9" x14ac:dyDescent="0.3">
      <c r="B123" s="110" t="s">
        <v>0</v>
      </c>
      <c r="C123" s="111" t="s">
        <v>14</v>
      </c>
      <c r="D123" s="111" t="s">
        <v>2</v>
      </c>
      <c r="E123" s="111" t="s">
        <v>3</v>
      </c>
      <c r="F123" s="111" t="s">
        <v>13</v>
      </c>
      <c r="G123" s="111" t="s">
        <v>4</v>
      </c>
      <c r="H123" s="111" t="s">
        <v>5</v>
      </c>
      <c r="I123" s="112" t="s">
        <v>6</v>
      </c>
    </row>
    <row r="124" spans="2:9" x14ac:dyDescent="0.3">
      <c r="B124" s="113" t="str">
        <f>IF(C124&lt;&gt;"","3.9.1","")</f>
        <v/>
      </c>
      <c r="C124" s="83"/>
      <c r="D124" s="83"/>
      <c r="E124" s="83"/>
      <c r="F124" s="83"/>
      <c r="G124" s="83"/>
      <c r="H124" s="114" t="str">
        <f>IF(F124&lt;&gt;"",F124*G124,"")</f>
        <v/>
      </c>
      <c r="I124" s="86"/>
    </row>
    <row r="125" spans="2:9" x14ac:dyDescent="0.3">
      <c r="B125" s="113" t="str">
        <f>IF(C125&lt;&gt;"","3.9.2","")</f>
        <v/>
      </c>
      <c r="C125" s="83"/>
      <c r="D125" s="83"/>
      <c r="E125" s="83"/>
      <c r="F125" s="83"/>
      <c r="G125" s="83"/>
      <c r="H125" s="114" t="str">
        <f t="shared" ref="H125:H133" si="8">IF(F125&lt;&gt;"",F125*G125,"")</f>
        <v/>
      </c>
      <c r="I125" s="86"/>
    </row>
    <row r="126" spans="2:9" x14ac:dyDescent="0.3">
      <c r="B126" s="113" t="str">
        <f>IF(C126&lt;&gt;"","3.9.3","")</f>
        <v/>
      </c>
      <c r="C126" s="83"/>
      <c r="D126" s="83"/>
      <c r="E126" s="83"/>
      <c r="F126" s="83"/>
      <c r="G126" s="83"/>
      <c r="H126" s="114" t="str">
        <f t="shared" si="8"/>
        <v/>
      </c>
      <c r="I126" s="86"/>
    </row>
    <row r="127" spans="2:9" x14ac:dyDescent="0.3">
      <c r="B127" s="113" t="str">
        <f>IF(C127&lt;&gt;"","3.9.4","")</f>
        <v/>
      </c>
      <c r="C127" s="83"/>
      <c r="D127" s="83"/>
      <c r="E127" s="83"/>
      <c r="F127" s="83"/>
      <c r="G127" s="83"/>
      <c r="H127" s="114" t="str">
        <f t="shared" si="8"/>
        <v/>
      </c>
      <c r="I127" s="86"/>
    </row>
    <row r="128" spans="2:9" x14ac:dyDescent="0.3">
      <c r="B128" s="113" t="str">
        <f>IF(C128&lt;&gt;"","3.9.5","")</f>
        <v/>
      </c>
      <c r="C128" s="83"/>
      <c r="D128" s="83"/>
      <c r="E128" s="83"/>
      <c r="F128" s="83"/>
      <c r="G128" s="83"/>
      <c r="H128" s="114" t="str">
        <f t="shared" si="8"/>
        <v/>
      </c>
      <c r="I128" s="86"/>
    </row>
    <row r="129" spans="2:9" x14ac:dyDescent="0.3">
      <c r="B129" s="113" t="str">
        <f>IF(C129&lt;&gt;"","3.9.6","")</f>
        <v/>
      </c>
      <c r="C129" s="83"/>
      <c r="D129" s="83"/>
      <c r="E129" s="83"/>
      <c r="F129" s="83"/>
      <c r="G129" s="83"/>
      <c r="H129" s="114" t="str">
        <f t="shared" si="8"/>
        <v/>
      </c>
      <c r="I129" s="86"/>
    </row>
    <row r="130" spans="2:9" x14ac:dyDescent="0.3">
      <c r="B130" s="113" t="str">
        <f>IF(C130&lt;&gt;"","3.9.7","")</f>
        <v/>
      </c>
      <c r="C130" s="83"/>
      <c r="D130" s="83"/>
      <c r="E130" s="83"/>
      <c r="F130" s="83"/>
      <c r="G130" s="83"/>
      <c r="H130" s="114" t="str">
        <f t="shared" si="8"/>
        <v/>
      </c>
      <c r="I130" s="86"/>
    </row>
    <row r="131" spans="2:9" x14ac:dyDescent="0.3">
      <c r="B131" s="113" t="str">
        <f>IF(C131&lt;&gt;"","3.9.8","")</f>
        <v/>
      </c>
      <c r="C131" s="83"/>
      <c r="D131" s="83"/>
      <c r="E131" s="83"/>
      <c r="F131" s="83"/>
      <c r="G131" s="83"/>
      <c r="H131" s="114" t="str">
        <f t="shared" si="8"/>
        <v/>
      </c>
      <c r="I131" s="86"/>
    </row>
    <row r="132" spans="2:9" x14ac:dyDescent="0.3">
      <c r="B132" s="113" t="str">
        <f>IF(C132&lt;&gt;"","3.9.9","")</f>
        <v/>
      </c>
      <c r="C132" s="83"/>
      <c r="D132" s="83"/>
      <c r="E132" s="83"/>
      <c r="F132" s="83"/>
      <c r="G132" s="83"/>
      <c r="H132" s="114" t="str">
        <f t="shared" si="8"/>
        <v/>
      </c>
      <c r="I132" s="86"/>
    </row>
    <row r="133" spans="2:9" ht="15" thickBot="1" x14ac:dyDescent="0.35">
      <c r="B133" s="115" t="str">
        <f>IF(C133&lt;&gt;"","3.9.10","")</f>
        <v/>
      </c>
      <c r="C133" s="91"/>
      <c r="D133" s="91"/>
      <c r="E133" s="91"/>
      <c r="F133" s="91"/>
      <c r="G133" s="91"/>
      <c r="H133" s="116" t="str">
        <f t="shared" si="8"/>
        <v/>
      </c>
      <c r="I133" s="92"/>
    </row>
    <row r="134" spans="2:9" ht="15" thickBot="1" x14ac:dyDescent="0.35">
      <c r="B134" s="117"/>
      <c r="C134" s="117"/>
      <c r="D134" s="117"/>
      <c r="E134" s="117"/>
      <c r="F134" s="117"/>
      <c r="G134" s="117"/>
      <c r="H134" s="117"/>
      <c r="I134" s="117"/>
    </row>
    <row r="135" spans="2:9" ht="18.600000000000001" thickBot="1" x14ac:dyDescent="0.4">
      <c r="B135" s="250" t="str">
        <f>IF('Etap 3 - prototyp'!$C$14&lt;&gt;"",B14&amp;": "&amp;  'Etap 3 - prototyp'!$C$14,"")</f>
        <v/>
      </c>
      <c r="C135" s="251"/>
      <c r="D135" s="251"/>
      <c r="E135" s="251"/>
      <c r="F135" s="251"/>
      <c r="G135" s="251"/>
      <c r="H135" s="251"/>
      <c r="I135" s="252"/>
    </row>
    <row r="136" spans="2:9" x14ac:dyDescent="0.3">
      <c r="B136" s="110" t="s">
        <v>0</v>
      </c>
      <c r="C136" s="111" t="s">
        <v>14</v>
      </c>
      <c r="D136" s="111" t="s">
        <v>2</v>
      </c>
      <c r="E136" s="111" t="s">
        <v>3</v>
      </c>
      <c r="F136" s="111" t="s">
        <v>13</v>
      </c>
      <c r="G136" s="111" t="s">
        <v>4</v>
      </c>
      <c r="H136" s="111" t="s">
        <v>5</v>
      </c>
      <c r="I136" s="112" t="s">
        <v>6</v>
      </c>
    </row>
    <row r="137" spans="2:9" x14ac:dyDescent="0.3">
      <c r="B137" s="113" t="str">
        <f>IF(C137&lt;&gt;"","3.10.1","")</f>
        <v/>
      </c>
      <c r="C137" s="83"/>
      <c r="D137" s="83"/>
      <c r="E137" s="83"/>
      <c r="F137" s="83"/>
      <c r="G137" s="83"/>
      <c r="H137" s="114" t="str">
        <f>IF(F137&lt;&gt;"",F137*G137,"")</f>
        <v/>
      </c>
      <c r="I137" s="86"/>
    </row>
    <row r="138" spans="2:9" x14ac:dyDescent="0.3">
      <c r="B138" s="113" t="str">
        <f>IF(C138&lt;&gt;"","3.10.2","")</f>
        <v/>
      </c>
      <c r="C138" s="83"/>
      <c r="D138" s="83"/>
      <c r="E138" s="83"/>
      <c r="F138" s="83"/>
      <c r="G138" s="83"/>
      <c r="H138" s="114" t="str">
        <f t="shared" ref="H138:H146" si="9">IF(F138&lt;&gt;"",F138*G138,"")</f>
        <v/>
      </c>
      <c r="I138" s="86"/>
    </row>
    <row r="139" spans="2:9" x14ac:dyDescent="0.3">
      <c r="B139" s="113" t="str">
        <f>IF(C139&lt;&gt;"","3.10.3","")</f>
        <v/>
      </c>
      <c r="C139" s="83"/>
      <c r="D139" s="83"/>
      <c r="E139" s="83"/>
      <c r="F139" s="83"/>
      <c r="G139" s="83"/>
      <c r="H139" s="114" t="str">
        <f t="shared" si="9"/>
        <v/>
      </c>
      <c r="I139" s="86"/>
    </row>
    <row r="140" spans="2:9" x14ac:dyDescent="0.3">
      <c r="B140" s="113" t="str">
        <f>IF(C140&lt;&gt;"","3.10.4","")</f>
        <v/>
      </c>
      <c r="C140" s="83"/>
      <c r="D140" s="83"/>
      <c r="E140" s="83"/>
      <c r="F140" s="83"/>
      <c r="G140" s="83"/>
      <c r="H140" s="114" t="str">
        <f t="shared" si="9"/>
        <v/>
      </c>
      <c r="I140" s="86"/>
    </row>
    <row r="141" spans="2:9" x14ac:dyDescent="0.3">
      <c r="B141" s="113" t="str">
        <f>IF(C141&lt;&gt;"","3.10.5","")</f>
        <v/>
      </c>
      <c r="C141" s="83"/>
      <c r="D141" s="83"/>
      <c r="E141" s="83"/>
      <c r="F141" s="83"/>
      <c r="G141" s="83"/>
      <c r="H141" s="114" t="str">
        <f t="shared" si="9"/>
        <v/>
      </c>
      <c r="I141" s="86"/>
    </row>
    <row r="142" spans="2:9" x14ac:dyDescent="0.3">
      <c r="B142" s="113" t="str">
        <f>IF(C142&lt;&gt;"","3.10.6","")</f>
        <v/>
      </c>
      <c r="C142" s="83"/>
      <c r="D142" s="83"/>
      <c r="E142" s="83"/>
      <c r="F142" s="83"/>
      <c r="G142" s="83"/>
      <c r="H142" s="114" t="str">
        <f t="shared" si="9"/>
        <v/>
      </c>
      <c r="I142" s="86"/>
    </row>
    <row r="143" spans="2:9" x14ac:dyDescent="0.3">
      <c r="B143" s="113" t="str">
        <f>IF(C143&lt;&gt;"","3.10.7","")</f>
        <v/>
      </c>
      <c r="C143" s="83"/>
      <c r="D143" s="83"/>
      <c r="E143" s="83"/>
      <c r="F143" s="83"/>
      <c r="G143" s="83"/>
      <c r="H143" s="114" t="str">
        <f t="shared" si="9"/>
        <v/>
      </c>
      <c r="I143" s="86"/>
    </row>
    <row r="144" spans="2:9" x14ac:dyDescent="0.3">
      <c r="B144" s="113" t="str">
        <f>IF(C144&lt;&gt;"","3.10.8","")</f>
        <v/>
      </c>
      <c r="C144" s="83"/>
      <c r="D144" s="83"/>
      <c r="E144" s="83"/>
      <c r="F144" s="83"/>
      <c r="G144" s="83"/>
      <c r="H144" s="114" t="str">
        <f t="shared" si="9"/>
        <v/>
      </c>
      <c r="I144" s="86"/>
    </row>
    <row r="145" spans="2:9" x14ac:dyDescent="0.3">
      <c r="B145" s="113" t="str">
        <f>IF(C145&lt;&gt;"","3.10.9","")</f>
        <v/>
      </c>
      <c r="C145" s="83"/>
      <c r="D145" s="83"/>
      <c r="E145" s="83"/>
      <c r="F145" s="83"/>
      <c r="G145" s="83"/>
      <c r="H145" s="114" t="str">
        <f t="shared" si="9"/>
        <v/>
      </c>
      <c r="I145" s="86"/>
    </row>
    <row r="146" spans="2:9" ht="15" thickBot="1" x14ac:dyDescent="0.35">
      <c r="B146" s="115" t="str">
        <f>IF(C146&lt;&gt;"","3.10.10","")</f>
        <v/>
      </c>
      <c r="C146" s="91"/>
      <c r="D146" s="91"/>
      <c r="E146" s="91"/>
      <c r="F146" s="91"/>
      <c r="G146" s="91"/>
      <c r="H146" s="116" t="str">
        <f t="shared" si="9"/>
        <v/>
      </c>
      <c r="I146" s="92"/>
    </row>
  </sheetData>
  <sheetProtection algorithmName="SHA-512" hashValue="rIcnZgMIeIESXwy27gjw0g2oNaxwxcudBCX1euo4/bYADqdWUEnUYvaGXi9KHrv0+d+H2SakQA7KQ8ungOCxdg==" saltValue="anBaLOn1P4cV1rfaDpNGog==" spinCount="100000" sheet="1" objects="1" scenarios="1" selectLockedCells="1"/>
  <mergeCells count="12">
    <mergeCell ref="B3:F3"/>
    <mergeCell ref="B109:I109"/>
    <mergeCell ref="B122:I122"/>
    <mergeCell ref="B135:I135"/>
    <mergeCell ref="B70:I70"/>
    <mergeCell ref="B83:I83"/>
    <mergeCell ref="B96:I96"/>
    <mergeCell ref="B44:I44"/>
    <mergeCell ref="B57:I57"/>
    <mergeCell ref="B31:I31"/>
    <mergeCell ref="B16:I16"/>
    <mergeCell ref="B18:I18"/>
  </mergeCells>
  <phoneticPr fontId="4" type="noConversion"/>
  <conditionalFormatting sqref="B18:I19 B21:I29 B20 H20">
    <cfRule type="expression" dxfId="13" priority="25">
      <formula>$B$18=""</formula>
    </cfRule>
  </conditionalFormatting>
  <conditionalFormatting sqref="B31:I32 B34:I42 B33 H33">
    <cfRule type="expression" dxfId="12" priority="24">
      <formula>$B$31=""</formula>
    </cfRule>
  </conditionalFormatting>
  <conditionalFormatting sqref="B44:I55">
    <cfRule type="expression" dxfId="11" priority="22">
      <formula>$C$7=""</formula>
    </cfRule>
  </conditionalFormatting>
  <conditionalFormatting sqref="B57:I68">
    <cfRule type="expression" dxfId="10" priority="21">
      <formula>$C$8=""</formula>
    </cfRule>
  </conditionalFormatting>
  <conditionalFormatting sqref="B70:I81">
    <cfRule type="expression" dxfId="9" priority="20">
      <formula>$C$9=""</formula>
    </cfRule>
  </conditionalFormatting>
  <conditionalFormatting sqref="B83:I94">
    <cfRule type="expression" dxfId="8" priority="19">
      <formula>$C$10=""</formula>
    </cfRule>
  </conditionalFormatting>
  <conditionalFormatting sqref="B96:I107">
    <cfRule type="expression" dxfId="7" priority="18">
      <formula>$C$11=""</formula>
    </cfRule>
  </conditionalFormatting>
  <conditionalFormatting sqref="B109:I120">
    <cfRule type="expression" dxfId="6" priority="17">
      <formula>$C$12=""</formula>
    </cfRule>
  </conditionalFormatting>
  <conditionalFormatting sqref="B122:I133">
    <cfRule type="expression" dxfId="5" priority="16">
      <formula>$C$13=""</formula>
    </cfRule>
  </conditionalFormatting>
  <conditionalFormatting sqref="B135:I146">
    <cfRule type="expression" dxfId="4" priority="15">
      <formula>$C$14=""</formula>
    </cfRule>
  </conditionalFormatting>
  <conditionalFormatting sqref="C20:G20">
    <cfRule type="expression" dxfId="3" priority="4">
      <formula>$B$18=""</formula>
    </cfRule>
  </conditionalFormatting>
  <conditionalFormatting sqref="I20">
    <cfRule type="expression" dxfId="2" priority="3">
      <formula>$B$18=""</formula>
    </cfRule>
  </conditionalFormatting>
  <conditionalFormatting sqref="C33:G33">
    <cfRule type="expression" dxfId="1" priority="2">
      <formula>$B$31=""</formula>
    </cfRule>
  </conditionalFormatting>
  <conditionalFormatting sqref="I33">
    <cfRule type="expression" dxfId="0" priority="1">
      <formula>$B$31=""</formula>
    </cfRule>
  </conditionalFormatting>
  <dataValidations count="2">
    <dataValidation type="decimal" operator="greaterThanOrEqual" allowBlank="1" showInputMessage="1" showErrorMessage="1" errorTitle="Błąd" error="Podaj liczbę" sqref="F20:G29 F137:G146 F33:G42 F46:G55 F59:G68 F72:G81 F85:G94 F98:G107 F111:G120 F124:G133" xr:uid="{FF040D3C-E067-4868-B681-523412DD8B6A}">
      <formula1>0</formula1>
    </dataValidation>
    <dataValidation type="date" allowBlank="1" showInputMessage="1" showErrorMessage="1" errorTitle="UWAGA" error="Podaj datę w formacie DD.MM.RRRR" promptTitle="UWAGA" prompt="Podaj datę w formacie DD.MM.RRRR" sqref="E5:F14" xr:uid="{524B046A-E376-4035-825B-D68FB5FF7DDB}">
      <formula1>44652</formula1>
      <formula2>44926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n/d_x000a_godzina_x000a_szt." xr:uid="{47D9B481-7A33-4894-B04D-B7F9CACA3583}">
          <x14:formula1>
            <xm:f>Robocze!$C$3:$C$9</xm:f>
          </x14:formula1>
          <xm:sqref>E137:E146 E20:E29 E33:E42 E46:E55 E59:E68 E72:E81 E85:E94 E98:E107 E111:E120 E124:E133</xm:sqref>
        </x14:dataValidation>
        <x14:dataValidation type="list" allowBlank="1" showInputMessage="1" showErrorMessage="1" errorTitle="Błąd" error="Nieznana kategoria wydatku" promptTitle="Wybierz z listy:" prompt="wynagrodzenia_x000a_usługi obce_x000a_materiały" xr:uid="{AD147FC3-9031-4E53-9023-65ADC78D87AE}">
          <x14:formula1>
            <xm:f>Robocze!$B$3:$B$6</xm:f>
          </x14:formula1>
          <xm:sqref>D137:D146 D20:D29 D33:D42 D46:D55 D59:D68 D72:D81 D85:D94 D98:D107 D111:D120 D124:D133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C64F-E1A2-4D37-8B02-DB104E301528}">
  <sheetPr>
    <tabColor theme="4" tint="0.39997558519241921"/>
  </sheetPr>
  <dimension ref="B3:D74"/>
  <sheetViews>
    <sheetView topLeftCell="A48" zoomScale="80" zoomScaleNormal="80" workbookViewId="0">
      <selection activeCell="D74" sqref="D74"/>
    </sheetView>
  </sheetViews>
  <sheetFormatPr defaultColWidth="30.88671875" defaultRowHeight="14.4" x14ac:dyDescent="0.3"/>
  <cols>
    <col min="1" max="1" width="5.5546875" style="123" customWidth="1"/>
    <col min="2" max="2" width="89.44140625" style="123" customWidth="1"/>
    <col min="3" max="3" width="93.6640625" style="123" customWidth="1"/>
    <col min="4" max="4" width="89" style="123" customWidth="1"/>
    <col min="5" max="16384" width="30.88671875" style="123"/>
  </cols>
  <sheetData>
    <row r="3" spans="2:4" ht="15" thickBot="1" x14ac:dyDescent="0.35"/>
    <row r="4" spans="2:4" ht="18" x14ac:dyDescent="0.35">
      <c r="B4" s="259" t="s">
        <v>161</v>
      </c>
      <c r="C4" s="260"/>
      <c r="D4" s="261"/>
    </row>
    <row r="5" spans="2:4" x14ac:dyDescent="0.3">
      <c r="B5" s="150" t="s">
        <v>154</v>
      </c>
      <c r="C5" s="135" t="s">
        <v>151</v>
      </c>
      <c r="D5" s="144" t="s">
        <v>142</v>
      </c>
    </row>
    <row r="6" spans="2:4" x14ac:dyDescent="0.3">
      <c r="B6" s="93"/>
      <c r="C6" s="83"/>
      <c r="D6" s="86"/>
    </row>
    <row r="7" spans="2:4" x14ac:dyDescent="0.3">
      <c r="B7" s="93"/>
      <c r="C7" s="83"/>
      <c r="D7" s="86"/>
    </row>
    <row r="8" spans="2:4" x14ac:dyDescent="0.3">
      <c r="B8" s="93"/>
      <c r="C8" s="83"/>
      <c r="D8" s="86"/>
    </row>
    <row r="9" spans="2:4" x14ac:dyDescent="0.3">
      <c r="B9" s="93"/>
      <c r="C9" s="83"/>
      <c r="D9" s="86"/>
    </row>
    <row r="10" spans="2:4" x14ac:dyDescent="0.3">
      <c r="B10" s="93"/>
      <c r="C10" s="83"/>
      <c r="D10" s="86"/>
    </row>
    <row r="11" spans="2:4" x14ac:dyDescent="0.3">
      <c r="B11" s="93"/>
      <c r="C11" s="83"/>
      <c r="D11" s="86"/>
    </row>
    <row r="12" spans="2:4" x14ac:dyDescent="0.3">
      <c r="B12" s="93"/>
      <c r="C12" s="83"/>
      <c r="D12" s="86"/>
    </row>
    <row r="13" spans="2:4" x14ac:dyDescent="0.3">
      <c r="B13" s="93"/>
      <c r="C13" s="83"/>
      <c r="D13" s="86"/>
    </row>
    <row r="14" spans="2:4" x14ac:dyDescent="0.3">
      <c r="B14" s="93"/>
      <c r="C14" s="83"/>
      <c r="D14" s="86"/>
    </row>
    <row r="15" spans="2:4" x14ac:dyDescent="0.3">
      <c r="B15" s="93"/>
      <c r="C15" s="83"/>
      <c r="D15" s="86"/>
    </row>
    <row r="16" spans="2:4" x14ac:dyDescent="0.3">
      <c r="B16" s="93"/>
      <c r="C16" s="83"/>
      <c r="D16" s="86"/>
    </row>
    <row r="17" spans="2:4" x14ac:dyDescent="0.3">
      <c r="B17" s="93"/>
      <c r="C17" s="83"/>
      <c r="D17" s="86"/>
    </row>
    <row r="18" spans="2:4" ht="15" thickBot="1" x14ac:dyDescent="0.35"/>
    <row r="19" spans="2:4" x14ac:dyDescent="0.3">
      <c r="B19" s="110" t="s">
        <v>155</v>
      </c>
      <c r="C19" s="111" t="s">
        <v>151</v>
      </c>
      <c r="D19" s="112" t="s">
        <v>142</v>
      </c>
    </row>
    <row r="20" spans="2:4" x14ac:dyDescent="0.3">
      <c r="B20" s="138" t="s">
        <v>188</v>
      </c>
      <c r="C20" s="139" t="s">
        <v>188</v>
      </c>
      <c r="D20" s="140" t="s">
        <v>188</v>
      </c>
    </row>
    <row r="21" spans="2:4" x14ac:dyDescent="0.3">
      <c r="B21" s="138" t="s">
        <v>188</v>
      </c>
      <c r="C21" s="139" t="s">
        <v>188</v>
      </c>
      <c r="D21" s="140" t="s">
        <v>188</v>
      </c>
    </row>
    <row r="22" spans="2:4" ht="15" thickBot="1" x14ac:dyDescent="0.35">
      <c r="B22" s="141" t="s">
        <v>188</v>
      </c>
      <c r="C22" s="142" t="s">
        <v>188</v>
      </c>
      <c r="D22" s="143" t="s">
        <v>188</v>
      </c>
    </row>
    <row r="24" spans="2:4" ht="15" thickBot="1" x14ac:dyDescent="0.35"/>
    <row r="25" spans="2:4" ht="18" x14ac:dyDescent="0.35">
      <c r="B25" s="259" t="s">
        <v>162</v>
      </c>
      <c r="C25" s="260"/>
      <c r="D25" s="261"/>
    </row>
    <row r="26" spans="2:4" x14ac:dyDescent="0.3">
      <c r="B26" s="262" t="s">
        <v>163</v>
      </c>
      <c r="C26" s="265"/>
      <c r="D26" s="266"/>
    </row>
    <row r="27" spans="2:4" x14ac:dyDescent="0.3">
      <c r="B27" s="263"/>
      <c r="C27" s="267"/>
      <c r="D27" s="268"/>
    </row>
    <row r="28" spans="2:4" x14ac:dyDescent="0.3">
      <c r="B28" s="263"/>
      <c r="C28" s="267"/>
      <c r="D28" s="268"/>
    </row>
    <row r="29" spans="2:4" x14ac:dyDescent="0.3">
      <c r="B29" s="263"/>
      <c r="C29" s="267"/>
      <c r="D29" s="268"/>
    </row>
    <row r="30" spans="2:4" x14ac:dyDescent="0.3">
      <c r="B30" s="263"/>
      <c r="C30" s="267"/>
      <c r="D30" s="268"/>
    </row>
    <row r="31" spans="2:4" x14ac:dyDescent="0.3">
      <c r="B31" s="263"/>
      <c r="C31" s="267"/>
      <c r="D31" s="268"/>
    </row>
    <row r="32" spans="2:4" x14ac:dyDescent="0.3">
      <c r="B32" s="263"/>
      <c r="C32" s="267"/>
      <c r="D32" s="268"/>
    </row>
    <row r="33" spans="2:4" x14ac:dyDescent="0.3">
      <c r="B33" s="263"/>
      <c r="C33" s="267"/>
      <c r="D33" s="268"/>
    </row>
    <row r="34" spans="2:4" x14ac:dyDescent="0.3">
      <c r="B34" s="263"/>
      <c r="C34" s="267"/>
      <c r="D34" s="268"/>
    </row>
    <row r="35" spans="2:4" x14ac:dyDescent="0.3">
      <c r="B35" s="264"/>
      <c r="C35" s="269"/>
      <c r="D35" s="270"/>
    </row>
    <row r="36" spans="2:4" x14ac:dyDescent="0.3">
      <c r="B36" s="262" t="s">
        <v>164</v>
      </c>
      <c r="C36" s="265"/>
      <c r="D36" s="266"/>
    </row>
    <row r="37" spans="2:4" x14ac:dyDescent="0.3">
      <c r="B37" s="263"/>
      <c r="C37" s="267"/>
      <c r="D37" s="268"/>
    </row>
    <row r="38" spans="2:4" x14ac:dyDescent="0.3">
      <c r="B38" s="263"/>
      <c r="C38" s="267"/>
      <c r="D38" s="268"/>
    </row>
    <row r="39" spans="2:4" x14ac:dyDescent="0.3">
      <c r="B39" s="263"/>
      <c r="C39" s="267"/>
      <c r="D39" s="268"/>
    </row>
    <row r="40" spans="2:4" x14ac:dyDescent="0.3">
      <c r="B40" s="263"/>
      <c r="C40" s="267"/>
      <c r="D40" s="268"/>
    </row>
    <row r="41" spans="2:4" x14ac:dyDescent="0.3">
      <c r="B41" s="263"/>
      <c r="C41" s="267"/>
      <c r="D41" s="268"/>
    </row>
    <row r="42" spans="2:4" x14ac:dyDescent="0.3">
      <c r="B42" s="263"/>
      <c r="C42" s="267"/>
      <c r="D42" s="268"/>
    </row>
    <row r="43" spans="2:4" x14ac:dyDescent="0.3">
      <c r="B43" s="263"/>
      <c r="C43" s="267"/>
      <c r="D43" s="268"/>
    </row>
    <row r="44" spans="2:4" x14ac:dyDescent="0.3">
      <c r="B44" s="263"/>
      <c r="C44" s="267"/>
      <c r="D44" s="268"/>
    </row>
    <row r="45" spans="2:4" x14ac:dyDescent="0.3">
      <c r="B45" s="264"/>
      <c r="C45" s="269"/>
      <c r="D45" s="270"/>
    </row>
    <row r="46" spans="2:4" x14ac:dyDescent="0.3">
      <c r="B46" s="262" t="s">
        <v>165</v>
      </c>
      <c r="C46" s="265"/>
      <c r="D46" s="266"/>
    </row>
    <row r="47" spans="2:4" x14ac:dyDescent="0.3">
      <c r="B47" s="263"/>
      <c r="C47" s="267"/>
      <c r="D47" s="268"/>
    </row>
    <row r="48" spans="2:4" x14ac:dyDescent="0.3">
      <c r="B48" s="263"/>
      <c r="C48" s="267"/>
      <c r="D48" s="268"/>
    </row>
    <row r="49" spans="2:4" x14ac:dyDescent="0.3">
      <c r="B49" s="263"/>
      <c r="C49" s="267"/>
      <c r="D49" s="268"/>
    </row>
    <row r="50" spans="2:4" x14ac:dyDescent="0.3">
      <c r="B50" s="263"/>
      <c r="C50" s="267"/>
      <c r="D50" s="268"/>
    </row>
    <row r="51" spans="2:4" x14ac:dyDescent="0.3">
      <c r="B51" s="263"/>
      <c r="C51" s="267"/>
      <c r="D51" s="268"/>
    </row>
    <row r="52" spans="2:4" x14ac:dyDescent="0.3">
      <c r="B52" s="263"/>
      <c r="C52" s="267"/>
      <c r="D52" s="268"/>
    </row>
    <row r="53" spans="2:4" x14ac:dyDescent="0.3">
      <c r="B53" s="263"/>
      <c r="C53" s="267"/>
      <c r="D53" s="268"/>
    </row>
    <row r="54" spans="2:4" x14ac:dyDescent="0.3">
      <c r="B54" s="263"/>
      <c r="C54" s="267"/>
      <c r="D54" s="268"/>
    </row>
    <row r="55" spans="2:4" x14ac:dyDescent="0.3">
      <c r="B55" s="264"/>
      <c r="C55" s="269"/>
      <c r="D55" s="270"/>
    </row>
    <row r="56" spans="2:4" x14ac:dyDescent="0.3">
      <c r="B56" s="262" t="s">
        <v>166</v>
      </c>
      <c r="C56" s="265"/>
      <c r="D56" s="266"/>
    </row>
    <row r="57" spans="2:4" x14ac:dyDescent="0.3">
      <c r="B57" s="263"/>
      <c r="C57" s="267"/>
      <c r="D57" s="268"/>
    </row>
    <row r="58" spans="2:4" x14ac:dyDescent="0.3">
      <c r="B58" s="263"/>
      <c r="C58" s="267"/>
      <c r="D58" s="268"/>
    </row>
    <row r="59" spans="2:4" x14ac:dyDescent="0.3">
      <c r="B59" s="263"/>
      <c r="C59" s="267"/>
      <c r="D59" s="268"/>
    </row>
    <row r="60" spans="2:4" x14ac:dyDescent="0.3">
      <c r="B60" s="263"/>
      <c r="C60" s="267"/>
      <c r="D60" s="268"/>
    </row>
    <row r="61" spans="2:4" x14ac:dyDescent="0.3">
      <c r="B61" s="263"/>
      <c r="C61" s="267"/>
      <c r="D61" s="268"/>
    </row>
    <row r="62" spans="2:4" x14ac:dyDescent="0.3">
      <c r="B62" s="263"/>
      <c r="C62" s="267"/>
      <c r="D62" s="268"/>
    </row>
    <row r="63" spans="2:4" x14ac:dyDescent="0.3">
      <c r="B63" s="263"/>
      <c r="C63" s="267"/>
      <c r="D63" s="268"/>
    </row>
    <row r="64" spans="2:4" x14ac:dyDescent="0.3">
      <c r="B64" s="263"/>
      <c r="C64" s="267"/>
      <c r="D64" s="268"/>
    </row>
    <row r="65" spans="2:4" x14ac:dyDescent="0.3">
      <c r="B65" s="264"/>
      <c r="C65" s="269"/>
      <c r="D65" s="270"/>
    </row>
    <row r="66" spans="2:4" x14ac:dyDescent="0.3">
      <c r="B66" s="271" t="s">
        <v>167</v>
      </c>
      <c r="C66" s="272"/>
      <c r="D66" s="273"/>
    </row>
    <row r="68" spans="2:4" ht="15" thickBot="1" x14ac:dyDescent="0.35"/>
    <row r="69" spans="2:4" ht="18" x14ac:dyDescent="0.35">
      <c r="B69" s="259" t="s">
        <v>160</v>
      </c>
      <c r="C69" s="260"/>
      <c r="D69" s="261"/>
    </row>
    <row r="70" spans="2:4" x14ac:dyDescent="0.3">
      <c r="B70" s="150" t="s">
        <v>144</v>
      </c>
      <c r="C70" s="135" t="s">
        <v>184</v>
      </c>
      <c r="D70" s="144" t="s">
        <v>146</v>
      </c>
    </row>
    <row r="71" spans="2:4" x14ac:dyDescent="0.3">
      <c r="B71" s="125"/>
      <c r="C71" s="126"/>
      <c r="D71" s="94"/>
    </row>
    <row r="72" spans="2:4" x14ac:dyDescent="0.3">
      <c r="B72" s="125"/>
      <c r="C72" s="126"/>
      <c r="D72" s="94"/>
    </row>
    <row r="73" spans="2:4" x14ac:dyDescent="0.3">
      <c r="B73" s="125"/>
      <c r="C73" s="126"/>
      <c r="D73" s="94"/>
    </row>
    <row r="74" spans="2:4" ht="15" thickBot="1" x14ac:dyDescent="0.35">
      <c r="B74" s="127"/>
      <c r="C74" s="128"/>
      <c r="D74" s="95"/>
    </row>
  </sheetData>
  <sheetProtection algorithmName="SHA-512" hashValue="tXIKiCn0hy5il9+nfBqn4txMX3ORjFlVpFrwnhCoFDDPwx5GTV0iffI94Huunql0R25Q3gTOLzJTrFuCdYMepQ==" saltValue="x+gKJ5AQsbOFsjtfs+Ay5w==" spinCount="100000" sheet="1" objects="1" scenarios="1" selectLockedCells="1"/>
  <mergeCells count="12">
    <mergeCell ref="B69:D69"/>
    <mergeCell ref="B4:D4"/>
    <mergeCell ref="B25:D25"/>
    <mergeCell ref="B26:B35"/>
    <mergeCell ref="C26:D35"/>
    <mergeCell ref="B36:B45"/>
    <mergeCell ref="C36:D45"/>
    <mergeCell ref="B66:D66"/>
    <mergeCell ref="B46:B55"/>
    <mergeCell ref="C46:D55"/>
    <mergeCell ref="B56:B65"/>
    <mergeCell ref="C56:D6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Uwaga" error="Wybierz z listy" promptTitle="Uwaga" prompt="Wybierz z listy" xr:uid="{AA093F54-94C9-4E18-A953-4FA537449B2B}">
          <x14:formula1>
            <xm:f>Robocze!$D$3:$D$5</xm:f>
          </x14:formula1>
          <xm:sqref>C71:C74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7</vt:i4>
      </vt:variant>
    </vt:vector>
  </HeadingPairs>
  <TitlesOfParts>
    <vt:vector size="18" baseType="lpstr">
      <vt:lpstr>Podsumowanie</vt:lpstr>
      <vt:lpstr>Etap 1 - prototyp</vt:lpstr>
      <vt:lpstr>Etap 1 - testowanie</vt:lpstr>
      <vt:lpstr>Etap 1 - wskaźniki i ryzyko</vt:lpstr>
      <vt:lpstr>Etap 2 - prototyp</vt:lpstr>
      <vt:lpstr>Etap 2 - testowanie</vt:lpstr>
      <vt:lpstr>Etap 2 - wskaźniki i ryzyko</vt:lpstr>
      <vt:lpstr>Etap 3 - prototyp</vt:lpstr>
      <vt:lpstr>Etap 3 - wskaźniki i ryzyko</vt:lpstr>
      <vt:lpstr>Robocze</vt:lpstr>
      <vt:lpstr>Taryfikator</vt:lpstr>
      <vt:lpstr>Taryfikator!_ftn1</vt:lpstr>
      <vt:lpstr>Taryfikator!_ftn2</vt:lpstr>
      <vt:lpstr>Taryfikator!_ftn3</vt:lpstr>
      <vt:lpstr>Taryfikator!_ftnref1</vt:lpstr>
      <vt:lpstr>Taryfikator!_ftnref2</vt:lpstr>
      <vt:lpstr>Taryfikator!_ftnref3</vt:lpstr>
      <vt:lpstr>Taryfikator!Obszar_wydruku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B</dc:creator>
  <cp:lastModifiedBy>Beata Stelmaszynska</cp:lastModifiedBy>
  <cp:lastPrinted>2021-09-29T10:26:09Z</cp:lastPrinted>
  <dcterms:created xsi:type="dcterms:W3CDTF">2015-06-05T18:19:34Z</dcterms:created>
  <dcterms:modified xsi:type="dcterms:W3CDTF">2021-12-28T10:30:35Z</dcterms:modified>
</cp:coreProperties>
</file>